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30" windowWidth="20115" windowHeight="7815" activeTab="0"/>
  </bookViews>
  <sheets>
    <sheet name="Getting Started" sheetId="1" r:id="rId1"/>
    <sheet name="Sell-To-Open" sheetId="2" r:id="rId2"/>
    <sheet name="Closing the Option" sheetId="3" r:id="rId3"/>
    <sheet name="Dates" sheetId="4" state="veryHidden" r:id="rId4"/>
    <sheet name="Costs" sheetId="5" state="veryHidden" r:id="rId5"/>
    <sheet name="quote1" sheetId="6" state="veryHidden" r:id="rId6"/>
    <sheet name="quote2" sheetId="7" state="veryHidden" r:id="rId7"/>
    <sheet name="Version Info" sheetId="8" state="veryHidden" r:id="rId8"/>
  </sheets>
  <definedNames>
    <definedName name="_xlfn.WEBSERVICE" hidden="1">#NAME?</definedName>
    <definedName name="assignment" localSheetId="0">'Getting Started'!$H$10</definedName>
    <definedName name="btc">'Closing the Option'!$G$4</definedName>
    <definedName name="BTCchange">'quote2'!$C$4</definedName>
    <definedName name="BTCcompanyname">'quote2'!$D$4</definedName>
    <definedName name="BTCLast">'quote2'!$B$4</definedName>
    <definedName name="BTCTicker">'Closing the Option'!$A$5</definedName>
    <definedName name="change">'quote1'!$C$4</definedName>
    <definedName name="commission">'Costs'!$B$6</definedName>
    <definedName name="companyname">'quote1'!$D$4</definedName>
    <definedName name="dayofweek1stofmonth">'Dates'!$C$4</definedName>
    <definedName name="daysofweekblock">'Dates'!$E$4:$F$10</definedName>
    <definedName name="FrontMonthExp">'Dates'!$D$4</definedName>
    <definedName name="Last" localSheetId="6">'quote2'!#REF!</definedName>
    <definedName name="Last">'Getting Started'!$E$7</definedName>
    <definedName name="longlist">'Dates'!$P$19:$P$36</definedName>
    <definedName name="mindays">'Costs'!$F$8</definedName>
    <definedName name="minpercent">'Costs'!$D$8</definedName>
    <definedName name="shortlist">'Dates'!$K$20:$K$33</definedName>
    <definedName name="Ticker">'Getting Started'!$C$7</definedName>
    <definedName name="todaysdayofweek">'Dates'!$A$8</definedName>
    <definedName name="tradecost">'Costs'!$B$7</definedName>
    <definedName name="Version">'Version Info'!$B$1</definedName>
  </definedNames>
  <calcPr fullCalcOnLoad="1" refMode="R1C1"/>
</workbook>
</file>

<file path=xl/sharedStrings.xml><?xml version="1.0" encoding="utf-8"?>
<sst xmlns="http://schemas.openxmlformats.org/spreadsheetml/2006/main" count="113" uniqueCount="81">
  <si>
    <t>FrontMonth</t>
  </si>
  <si>
    <t>SecondMonth</t>
  </si>
  <si>
    <t>Nextweekly</t>
  </si>
  <si>
    <t>APR</t>
  </si>
  <si>
    <t>ASSUMPTIONS</t>
  </si>
  <si>
    <t>Sell-To-Open</t>
  </si>
  <si>
    <t>2. Selecting a possible option</t>
  </si>
  <si>
    <t>Possible Expiration Dates</t>
  </si>
  <si>
    <t xml:space="preserve"> Strike?</t>
  </si>
  <si>
    <t>3. Analyzing your selection</t>
  </si>
  <si>
    <t>Price</t>
  </si>
  <si>
    <t>1. Fundamental Stock Questions</t>
  </si>
  <si>
    <t>What Exp. Date?</t>
  </si>
  <si>
    <t>What Premium?</t>
  </si>
  <si>
    <t>How many Contracts?</t>
  </si>
  <si>
    <t>Base</t>
  </si>
  <si>
    <t>per contract</t>
  </si>
  <si>
    <t>Net Premium</t>
  </si>
  <si>
    <t>Minimum Premium (Bid price)</t>
  </si>
  <si>
    <t>Date</t>
  </si>
  <si>
    <t>Version</t>
  </si>
  <si>
    <t>Author</t>
  </si>
  <si>
    <t>Comments</t>
  </si>
  <si>
    <t>PAM</t>
  </si>
  <si>
    <t>Beta released to COOL CLUB</t>
  </si>
  <si>
    <t>Corrected Label for when Front Month has less than one week and turns essentially weekly</t>
  </si>
  <si>
    <t>Strike?</t>
  </si>
  <si>
    <t>Sell-To-Open Premium?</t>
  </si>
  <si>
    <t>Number of Contracts?</t>
  </si>
  <si>
    <t>Maximum Premium (Ask price)</t>
  </si>
  <si>
    <t>Date Sold?</t>
  </si>
  <si>
    <t>1. Original Sell-To-Open Position</t>
  </si>
  <si>
    <t>Exp Date</t>
  </si>
  <si>
    <t>Cntrcts in base</t>
  </si>
  <si>
    <t>2. Recommended Maximum Premium</t>
  </si>
  <si>
    <t>Strike</t>
  </si>
  <si>
    <t>Commissions on STO</t>
  </si>
  <si>
    <t>Commissions on BTC</t>
  </si>
  <si>
    <t xml:space="preserve">   =   Net</t>
  </si>
  <si>
    <t>$0.00</t>
  </si>
  <si>
    <t>Collected on Open    -    Cost To Close</t>
  </si>
  <si>
    <t>Collected on Open    -     Cost To Close</t>
  </si>
  <si>
    <r>
      <t xml:space="preserve">3a. If you </t>
    </r>
    <r>
      <rPr>
        <b/>
        <i/>
        <sz val="16"/>
        <color indexed="10"/>
        <rFont val="Calibri"/>
        <family val="2"/>
      </rPr>
      <t>Buy-To-Close</t>
    </r>
  </si>
  <si>
    <t>Your Premium?</t>
  </si>
  <si>
    <t>Brokerage Commission Schedule</t>
  </si>
  <si>
    <t xml:space="preserve">Base Commission </t>
  </si>
  <si>
    <t xml:space="preserve">Cost per contract beyond base </t>
  </si>
  <si>
    <t>Assignment fee
Or Stock trade cost</t>
  </si>
  <si>
    <t>Closing the Option</t>
  </si>
  <si>
    <t>Added Closing the Option and enhanced commissions table</t>
  </si>
  <si>
    <t>Enter Ticker:</t>
  </si>
  <si>
    <t>Fixed the weekly to change to the next weekly on Thursday,  added additional expiration dates to validate against.</t>
  </si>
  <si>
    <t>Added Hyperlinks to the Sell-To-Open sheet</t>
  </si>
  <si>
    <t>CASH SECURED PUTS COOL TOOL</t>
  </si>
  <si>
    <t>Your maximum buy price?</t>
  </si>
  <si>
    <t>Feel like price will go up?</t>
  </si>
  <si>
    <t>How much cash is available?</t>
  </si>
  <si>
    <t>Look for strikes below max buy price</t>
  </si>
  <si>
    <t>Made hyperlinks into buttons</t>
  </si>
  <si>
    <t>Strike  Price  -  Premium   +   Assignment =</t>
  </si>
  <si>
    <t xml:space="preserve"> Cost per share</t>
  </si>
  <si>
    <t>3c. If option is exercised, the price you will buy the stock at</t>
  </si>
  <si>
    <r>
      <rPr>
        <i/>
        <sz val="14"/>
        <color indexed="10"/>
        <rFont val="Calibri"/>
        <family val="2"/>
      </rPr>
      <t>Before you Start:</t>
    </r>
    <r>
      <rPr>
        <sz val="14"/>
        <color indexed="8"/>
        <rFont val="Calibri"/>
        <family val="2"/>
      </rPr>
      <t xml:space="preserve"> Be sure that you have enabled Macros and External content!</t>
    </r>
  </si>
  <si>
    <t>Brought to you by:</t>
  </si>
  <si>
    <t>www.bivio.com/COOL_Club</t>
  </si>
  <si>
    <t>Developed by:</t>
  </si>
  <si>
    <t>Paul Madison    TheCOOLClubDude@gmail.com</t>
  </si>
  <si>
    <t>Cash-Secured Put COOL TOOL</t>
  </si>
  <si>
    <t>Number of contracts covered in base</t>
  </si>
  <si>
    <t>Changed Hyperlinks locations and built out Getting Started Page</t>
  </si>
  <si>
    <t>Assignment</t>
  </si>
  <si>
    <r>
      <t xml:space="preserve">This COOL TOOL is used to make SELL-TO-OPEN and CLOSING decisions on Cash-Secured Puts on </t>
    </r>
    <r>
      <rPr>
        <sz val="16"/>
        <color indexed="17"/>
        <rFont val="Calibri"/>
        <family val="2"/>
      </rPr>
      <t xml:space="preserve">STOCK. </t>
    </r>
    <r>
      <rPr>
        <sz val="16"/>
        <color indexed="8"/>
        <rFont val="Calibri"/>
        <family val="2"/>
      </rPr>
      <t xml:space="preserve"> There is also  a separate COOL TOOL for Covered Calls and Options on Broad Market Index ETFs (such as SPY and IWM).</t>
    </r>
  </si>
  <si>
    <t>Fixed the reference to assignment cost and the logic on enough cash for number contracts.</t>
  </si>
  <si>
    <t>Removed variable pointers to the Covered Call Sheet</t>
  </si>
  <si>
    <t>Fixed a date problem...hopefully for the last time ...LOL</t>
  </si>
  <si>
    <t>M</t>
  </si>
  <si>
    <t>Added the extra Weeklies</t>
  </si>
  <si>
    <t>Fixed next month expiration not being in the list</t>
  </si>
  <si>
    <t>Webservice Yahoo quotes</t>
  </si>
  <si>
    <t>Enter Company Ticker:</t>
  </si>
  <si>
    <t>Enter Last Price: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</si>
</sst>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.0%"/>
    <numFmt numFmtId="166" formatCode="mmm\ d"/>
    <numFmt numFmtId="167" formatCode="&quot;$&quot;#,##0.00"/>
    <numFmt numFmtId="168" formatCode="&quot;$&quot;#,##0"/>
    <numFmt numFmtId="169" formatCode="\+#,##0.00_);[Red]\-#,##0.00"/>
    <numFmt numFmtId="170" formatCode="mmm\ d\,\ \'yy"/>
    <numFmt numFmtId="171" formatCode="m/d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mmm\ d\ \'yy"/>
  </numFmts>
  <fonts count="1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6"/>
      <color indexed="8"/>
      <name val="Calibri"/>
      <family val="2"/>
    </font>
    <font>
      <b/>
      <i/>
      <sz val="16"/>
      <color indexed="10"/>
      <name val="Calibri"/>
      <family val="2"/>
    </font>
    <font>
      <b/>
      <i/>
      <sz val="10"/>
      <color indexed="8"/>
      <name val="Calibri"/>
      <family val="2"/>
    </font>
    <font>
      <sz val="14"/>
      <color indexed="8"/>
      <name val="Calibri"/>
      <family val="2"/>
    </font>
    <font>
      <b/>
      <i/>
      <sz val="12"/>
      <color indexed="8"/>
      <name val="Calibri"/>
      <family val="2"/>
    </font>
    <font>
      <sz val="16"/>
      <color indexed="17"/>
      <name val="Calibri"/>
      <family val="2"/>
    </font>
    <font>
      <i/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30"/>
      <name val="Calibri"/>
      <family val="2"/>
    </font>
    <font>
      <b/>
      <i/>
      <sz val="16"/>
      <color indexed="9"/>
      <name val="Calibri"/>
      <family val="2"/>
    </font>
    <font>
      <b/>
      <sz val="16"/>
      <color indexed="9"/>
      <name val="Calibri"/>
      <family val="2"/>
    </font>
    <font>
      <sz val="16"/>
      <color indexed="9"/>
      <name val="Calibri"/>
      <family val="2"/>
    </font>
    <font>
      <b/>
      <i/>
      <sz val="12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30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20"/>
      <color indexed="8"/>
      <name val="Calibri"/>
      <family val="2"/>
    </font>
    <font>
      <b/>
      <sz val="14"/>
      <name val="Calibri"/>
      <family val="2"/>
    </font>
    <font>
      <b/>
      <sz val="14"/>
      <color indexed="30"/>
      <name val="Calibri"/>
      <family val="2"/>
    </font>
    <font>
      <b/>
      <i/>
      <sz val="16"/>
      <name val="Calibri"/>
      <family val="2"/>
    </font>
    <font>
      <b/>
      <i/>
      <sz val="12"/>
      <color indexed="23"/>
      <name val="Calibri"/>
      <family val="2"/>
    </font>
    <font>
      <b/>
      <sz val="12"/>
      <color indexed="10"/>
      <name val="Calibri"/>
      <family val="2"/>
    </font>
    <font>
      <b/>
      <i/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20"/>
      <color indexed="17"/>
      <name val="Calibri"/>
      <family val="2"/>
    </font>
    <font>
      <b/>
      <i/>
      <sz val="14"/>
      <color indexed="10"/>
      <name val="Calibri"/>
      <family val="2"/>
    </font>
    <font>
      <b/>
      <sz val="14"/>
      <color indexed="8"/>
      <name val="Calibri"/>
      <family val="2"/>
    </font>
    <font>
      <b/>
      <sz val="18"/>
      <color indexed="17"/>
      <name val="Calibri"/>
      <family val="2"/>
    </font>
    <font>
      <b/>
      <sz val="24"/>
      <color indexed="8"/>
      <name val="Calibri"/>
      <family val="2"/>
    </font>
    <font>
      <b/>
      <sz val="14"/>
      <color indexed="17"/>
      <name val="Calibri"/>
      <family val="2"/>
    </font>
    <font>
      <b/>
      <sz val="12"/>
      <color indexed="17"/>
      <name val="Calibri"/>
      <family val="2"/>
    </font>
    <font>
      <b/>
      <u val="single"/>
      <sz val="14"/>
      <color indexed="8"/>
      <name val="Calibri"/>
      <family val="2"/>
    </font>
    <font>
      <b/>
      <i/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10"/>
      <name val="Calibri"/>
      <family val="2"/>
    </font>
    <font>
      <sz val="11"/>
      <name val="Calibri"/>
      <family val="2"/>
    </font>
    <font>
      <b/>
      <i/>
      <sz val="10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b/>
      <i/>
      <sz val="9"/>
      <color indexed="55"/>
      <name val="Calibri"/>
      <family val="2"/>
    </font>
    <font>
      <b/>
      <sz val="16"/>
      <name val="Calibri"/>
      <family val="2"/>
    </font>
    <font>
      <b/>
      <sz val="16"/>
      <color indexed="17"/>
      <name val="Calibri"/>
      <family val="2"/>
    </font>
    <font>
      <b/>
      <sz val="16"/>
      <color indexed="10"/>
      <name val="Calibri"/>
      <family val="2"/>
    </font>
    <font>
      <b/>
      <i/>
      <sz val="16"/>
      <color indexed="17"/>
      <name val="Calibri"/>
      <family val="2"/>
    </font>
    <font>
      <b/>
      <sz val="18"/>
      <name val="Calibri"/>
      <family val="2"/>
    </font>
    <font>
      <sz val="10"/>
      <color indexed="10"/>
      <name val="Calibri"/>
      <family val="2"/>
    </font>
    <font>
      <u val="single"/>
      <sz val="8"/>
      <color indexed="12"/>
      <name val="Calibri"/>
      <family val="2"/>
    </font>
    <font>
      <b/>
      <sz val="12"/>
      <name val="Calibri"/>
      <family val="2"/>
    </font>
    <font>
      <b/>
      <sz val="24"/>
      <name val="Calibri"/>
      <family val="2"/>
    </font>
    <font>
      <b/>
      <i/>
      <sz val="11"/>
      <name val="Calibri"/>
      <family val="2"/>
    </font>
    <font>
      <b/>
      <i/>
      <sz val="14"/>
      <name val="Calibri"/>
      <family val="2"/>
    </font>
    <font>
      <b/>
      <i/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28"/>
      <color indexed="8"/>
      <name val="Calibri"/>
      <family val="2"/>
    </font>
    <font>
      <b/>
      <i/>
      <sz val="14"/>
      <color indexed="8"/>
      <name val="Calibri"/>
      <family val="2"/>
    </font>
    <font>
      <b/>
      <sz val="20"/>
      <name val="Calibri"/>
      <family val="2"/>
    </font>
    <font>
      <b/>
      <sz val="20"/>
      <color indexed="9"/>
      <name val="Calibri"/>
      <family val="2"/>
    </font>
    <font>
      <i/>
      <sz val="14"/>
      <color indexed="8"/>
      <name val="Calibri"/>
      <family val="2"/>
    </font>
    <font>
      <b/>
      <i/>
      <sz val="20"/>
      <name val="Calibri"/>
      <family val="2"/>
    </font>
    <font>
      <b/>
      <sz val="20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sz val="24"/>
      <color rgb="FF0070C0"/>
      <name val="Calibri"/>
      <family val="2"/>
    </font>
    <font>
      <b/>
      <i/>
      <sz val="16"/>
      <color theme="0"/>
      <name val="Calibri"/>
      <family val="2"/>
    </font>
    <font>
      <b/>
      <sz val="16"/>
      <color theme="0"/>
      <name val="Calibri"/>
      <family val="2"/>
    </font>
    <font>
      <sz val="16"/>
      <color theme="0"/>
      <name val="Calibri"/>
      <family val="2"/>
    </font>
    <font>
      <b/>
      <i/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0070C0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sz val="20"/>
      <color theme="1"/>
      <name val="Calibri"/>
      <family val="2"/>
    </font>
    <font>
      <b/>
      <sz val="14"/>
      <color rgb="FF0070C0"/>
      <name val="Calibri"/>
      <family val="2"/>
    </font>
    <font>
      <b/>
      <i/>
      <sz val="12"/>
      <color theme="0" tint="-0.4999699890613556"/>
      <name val="Calibri"/>
      <family val="2"/>
    </font>
    <font>
      <b/>
      <sz val="12"/>
      <color rgb="FFFF0000"/>
      <name val="Calibri"/>
      <family val="2"/>
    </font>
    <font>
      <b/>
      <i/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z val="20"/>
      <color rgb="FF00B050"/>
      <name val="Calibri"/>
      <family val="2"/>
    </font>
    <font>
      <b/>
      <i/>
      <sz val="14"/>
      <color rgb="FFFF0000"/>
      <name val="Calibri"/>
      <family val="2"/>
    </font>
    <font>
      <b/>
      <sz val="14"/>
      <color theme="1"/>
      <name val="Calibri"/>
      <family val="2"/>
    </font>
    <font>
      <b/>
      <sz val="18"/>
      <color rgb="FF00B050"/>
      <name val="Calibri"/>
      <family val="2"/>
    </font>
    <font>
      <b/>
      <sz val="14"/>
      <color rgb="FF00B050"/>
      <name val="Calibri"/>
      <family val="2"/>
    </font>
    <font>
      <b/>
      <sz val="12"/>
      <color rgb="FF00B050"/>
      <name val="Calibri"/>
      <family val="2"/>
    </font>
    <font>
      <b/>
      <u val="single"/>
      <sz val="14"/>
      <color theme="1"/>
      <name val="Calibri"/>
      <family val="2"/>
    </font>
    <font>
      <b/>
      <i/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rgb="FFFF0000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b/>
      <i/>
      <sz val="9"/>
      <color theme="0" tint="-0.3499799966812134"/>
      <name val="Calibri"/>
      <family val="2"/>
    </font>
    <font>
      <sz val="11"/>
      <color theme="6" tint="-0.4999699890613556"/>
      <name val="Calibri"/>
      <family val="2"/>
    </font>
    <font>
      <b/>
      <sz val="16"/>
      <color rgb="FF00B050"/>
      <name val="Calibri"/>
      <family val="2"/>
    </font>
    <font>
      <b/>
      <sz val="16"/>
      <color rgb="FFFF0000"/>
      <name val="Calibri"/>
      <family val="2"/>
    </font>
    <font>
      <b/>
      <i/>
      <sz val="16"/>
      <color rgb="FF00B050"/>
      <name val="Calibri"/>
      <family val="2"/>
    </font>
    <font>
      <sz val="10"/>
      <color rgb="FFFF0000"/>
      <name val="Calibri"/>
      <family val="2"/>
    </font>
    <font>
      <u val="single"/>
      <sz val="8"/>
      <color theme="10"/>
      <name val="Calibri"/>
      <family val="2"/>
    </font>
    <font>
      <b/>
      <i/>
      <sz val="10"/>
      <color theme="1"/>
      <name val="Calibri"/>
      <family val="2"/>
    </font>
    <font>
      <b/>
      <i/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28"/>
      <color theme="1"/>
      <name val="Calibri"/>
      <family val="2"/>
    </font>
    <font>
      <b/>
      <i/>
      <sz val="14"/>
      <color theme="1"/>
      <name val="Calibri"/>
      <family val="2"/>
    </font>
    <font>
      <b/>
      <sz val="20"/>
      <color theme="0"/>
      <name val="Calibri"/>
      <family val="2"/>
    </font>
    <font>
      <i/>
      <sz val="14"/>
      <color theme="1"/>
      <name val="Calibri"/>
      <family val="2"/>
    </font>
    <font>
      <b/>
      <sz val="20"/>
      <color rgb="FFFF0000"/>
      <name val="Calibri"/>
      <family val="2"/>
    </font>
    <font>
      <b/>
      <sz val="2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0" applyNumberFormat="0" applyBorder="0" applyAlignment="0" applyProtection="0"/>
    <xf numFmtId="0" fontId="85" fillId="27" borderId="1" applyNumberFormat="0" applyAlignment="0" applyProtection="0"/>
    <xf numFmtId="0" fontId="8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2" fillId="0" borderId="5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30" borderId="1" applyNumberFormat="0" applyAlignment="0" applyProtection="0"/>
    <xf numFmtId="0" fontId="95" fillId="0" borderId="6" applyNumberFormat="0" applyFill="0" applyAlignment="0" applyProtection="0"/>
    <xf numFmtId="0" fontId="96" fillId="31" borderId="0" applyNumberFormat="0" applyBorder="0" applyAlignment="0" applyProtection="0"/>
    <xf numFmtId="0" fontId="0" fillId="32" borderId="7" applyNumberFormat="0" applyFont="0" applyAlignment="0" applyProtection="0"/>
    <xf numFmtId="0" fontId="97" fillId="27" borderId="8" applyNumberFormat="0" applyAlignment="0" applyProtection="0"/>
    <xf numFmtId="9" fontId="0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9" applyNumberFormat="0" applyFill="0" applyAlignment="0" applyProtection="0"/>
    <xf numFmtId="0" fontId="100" fillId="0" borderId="0" applyNumberFormat="0" applyFill="0" applyBorder="0" applyAlignment="0" applyProtection="0"/>
  </cellStyleXfs>
  <cellXfs count="219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9" fontId="0" fillId="0" borderId="0" xfId="59" applyFont="1" applyAlignment="1">
      <alignment horizontal="center"/>
    </xf>
    <xf numFmtId="165" fontId="0" fillId="0" borderId="0" xfId="59" applyNumberFormat="1" applyFont="1" applyAlignment="1">
      <alignment horizontal="center"/>
    </xf>
    <xf numFmtId="0" fontId="0" fillId="0" borderId="0" xfId="0" applyAlignment="1" quotePrefix="1">
      <alignment horizontal="center"/>
    </xf>
    <xf numFmtId="14" fontId="0" fillId="0" borderId="0" xfId="0" applyNumberFormat="1" applyAlignment="1">
      <alignment/>
    </xf>
    <xf numFmtId="0" fontId="101" fillId="0" borderId="0" xfId="0" applyFont="1" applyAlignment="1" applyProtection="1">
      <alignment horizontal="center" vertical="center"/>
      <protection/>
    </xf>
    <xf numFmtId="0" fontId="101" fillId="0" borderId="0" xfId="0" applyFont="1" applyAlignment="1" applyProtection="1">
      <alignment horizontal="center" wrapText="1"/>
      <protection/>
    </xf>
    <xf numFmtId="0" fontId="101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02" fillId="0" borderId="0" xfId="0" applyFont="1" applyAlignment="1" applyProtection="1">
      <alignment horizontal="right"/>
      <protection/>
    </xf>
    <xf numFmtId="0" fontId="103" fillId="0" borderId="0" xfId="0" applyFont="1" applyBorder="1" applyAlignment="1" applyProtection="1">
      <alignment horizontal="right" vertical="center" wrapText="1"/>
      <protection/>
    </xf>
    <xf numFmtId="0" fontId="104" fillId="0" borderId="0" xfId="0" applyFont="1" applyFill="1" applyBorder="1" applyAlignment="1" applyProtection="1">
      <alignment horizontal="center" vertical="center" wrapText="1"/>
      <protection/>
    </xf>
    <xf numFmtId="0" fontId="105" fillId="0" borderId="0" xfId="0" applyFont="1" applyAlignment="1" applyProtection="1">
      <alignment horizontal="center" vertical="center"/>
      <protection/>
    </xf>
    <xf numFmtId="0" fontId="106" fillId="0" borderId="10" xfId="0" applyFont="1" applyBorder="1" applyAlignment="1" applyProtection="1">
      <alignment horizontal="right" vertical="center" wrapText="1"/>
      <protection/>
    </xf>
    <xf numFmtId="0" fontId="106" fillId="0" borderId="10" xfId="0" applyFont="1" applyBorder="1" applyAlignment="1" applyProtection="1">
      <alignment horizontal="right" vertical="center"/>
      <protection/>
    </xf>
    <xf numFmtId="0" fontId="32" fillId="0" borderId="10" xfId="0" applyFont="1" applyBorder="1" applyAlignment="1" applyProtection="1">
      <alignment horizontal="right" vertical="center"/>
      <protection/>
    </xf>
    <xf numFmtId="0" fontId="107" fillId="0" borderId="10" xfId="0" applyFont="1" applyBorder="1" applyAlignment="1" applyProtection="1">
      <alignment horizontal="right" vertical="center" wrapText="1"/>
      <protection/>
    </xf>
    <xf numFmtId="0" fontId="108" fillId="0" borderId="11" xfId="0" applyFont="1" applyBorder="1" applyAlignment="1" applyProtection="1">
      <alignment horizontal="center" vertical="center"/>
      <protection/>
    </xf>
    <xf numFmtId="166" fontId="109" fillId="0" borderId="12" xfId="0" applyNumberFormat="1" applyFont="1" applyBorder="1" applyAlignment="1" applyProtection="1">
      <alignment horizontal="center" vertical="center" wrapText="1"/>
      <protection/>
    </xf>
    <xf numFmtId="0" fontId="106" fillId="0" borderId="13" xfId="0" applyFont="1" applyBorder="1" applyAlignment="1" applyProtection="1">
      <alignment horizontal="right" vertical="center"/>
      <protection/>
    </xf>
    <xf numFmtId="0" fontId="110" fillId="0" borderId="14" xfId="0" applyFont="1" applyBorder="1" applyAlignment="1" applyProtection="1">
      <alignment horizontal="center" vertical="center"/>
      <protection/>
    </xf>
    <xf numFmtId="0" fontId="110" fillId="0" borderId="11" xfId="0" applyFont="1" applyBorder="1" applyAlignment="1" applyProtection="1">
      <alignment horizontal="center" vertical="center"/>
      <protection/>
    </xf>
    <xf numFmtId="0" fontId="106" fillId="0" borderId="15" xfId="0" applyFont="1" applyBorder="1" applyAlignment="1" applyProtection="1">
      <alignment horizontal="right" vertical="center"/>
      <protection/>
    </xf>
    <xf numFmtId="167" fontId="111" fillId="0" borderId="16" xfId="0" applyNumberFormat="1" applyFont="1" applyBorder="1" applyAlignment="1" applyProtection="1">
      <alignment horizontal="center" vertical="center"/>
      <protection/>
    </xf>
    <xf numFmtId="0" fontId="106" fillId="0" borderId="14" xfId="0" applyFont="1" applyBorder="1" applyAlignment="1" applyProtection="1">
      <alignment horizontal="center"/>
      <protection/>
    </xf>
    <xf numFmtId="0" fontId="106" fillId="0" borderId="0" xfId="0" applyFont="1" applyAlignment="1" applyProtection="1">
      <alignment horizontal="center"/>
      <protection/>
    </xf>
    <xf numFmtId="0" fontId="112" fillId="0" borderId="0" xfId="0" applyFont="1" applyAlignment="1" applyProtection="1">
      <alignment horizontal="center"/>
      <protection/>
    </xf>
    <xf numFmtId="0" fontId="110" fillId="0" borderId="10" xfId="0" applyFont="1" applyBorder="1" applyAlignment="1" applyProtection="1">
      <alignment horizontal="center" vertical="center"/>
      <protection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/>
    </xf>
    <xf numFmtId="0" fontId="0" fillId="0" borderId="0" xfId="0" applyAlignment="1" applyProtection="1">
      <alignment horizontal="center"/>
      <protection/>
    </xf>
    <xf numFmtId="167" fontId="39" fillId="0" borderId="12" xfId="44" applyNumberFormat="1" applyFont="1" applyBorder="1" applyAlignment="1" applyProtection="1">
      <alignment horizontal="center" vertical="center"/>
      <protection locked="0"/>
    </xf>
    <xf numFmtId="166" fontId="113" fillId="0" borderId="12" xfId="0" applyNumberFormat="1" applyFont="1" applyBorder="1" applyAlignment="1" applyProtection="1">
      <alignment horizontal="center" vertical="center" wrapText="1"/>
      <protection locked="0"/>
    </xf>
    <xf numFmtId="0" fontId="41" fillId="34" borderId="17" xfId="0" applyFont="1" applyFill="1" applyBorder="1" applyAlignment="1" applyProtection="1">
      <alignment horizontal="center" vertical="center"/>
      <protection/>
    </xf>
    <xf numFmtId="0" fontId="108" fillId="0" borderId="0" xfId="0" applyFont="1" applyBorder="1" applyAlignment="1" applyProtection="1">
      <alignment horizontal="center" vertical="center"/>
      <protection/>
    </xf>
    <xf numFmtId="0" fontId="114" fillId="0" borderId="0" xfId="0" applyFont="1" applyBorder="1" applyAlignment="1" applyProtection="1">
      <alignment horizontal="center" vertical="center" wrapText="1"/>
      <protection/>
    </xf>
    <xf numFmtId="166" fontId="109" fillId="0" borderId="0" xfId="0" applyNumberFormat="1" applyFont="1" applyBorder="1" applyAlignment="1" applyProtection="1">
      <alignment horizontal="center" vertical="center" wrapText="1"/>
      <protection/>
    </xf>
    <xf numFmtId="167" fontId="115" fillId="0" borderId="0" xfId="44" applyNumberFormat="1" applyFont="1" applyBorder="1" applyAlignment="1" applyProtection="1">
      <alignment horizontal="center" vertical="center"/>
      <protection/>
    </xf>
    <xf numFmtId="0" fontId="110" fillId="0" borderId="0" xfId="0" applyFont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116" fillId="0" borderId="0" xfId="0" applyFont="1" applyFill="1" applyBorder="1" applyAlignment="1" applyProtection="1">
      <alignment horizontal="center" vertical="center" wrapText="1"/>
      <protection/>
    </xf>
    <xf numFmtId="0" fontId="117" fillId="0" borderId="0" xfId="0" applyFont="1" applyFill="1" applyBorder="1" applyAlignment="1" applyProtection="1">
      <alignment horizontal="center" vertical="center" wrapText="1"/>
      <protection/>
    </xf>
    <xf numFmtId="9" fontId="118" fillId="0" borderId="0" xfId="59" applyFont="1" applyFill="1" applyBorder="1" applyAlignment="1" applyProtection="1">
      <alignment horizontal="center" vertical="center"/>
      <protection/>
    </xf>
    <xf numFmtId="167" fontId="118" fillId="0" borderId="0" xfId="0" applyNumberFormat="1" applyFont="1" applyFill="1" applyBorder="1" applyAlignment="1" applyProtection="1">
      <alignment horizontal="center" vertical="center"/>
      <protection/>
    </xf>
    <xf numFmtId="0" fontId="119" fillId="0" borderId="0" xfId="0" applyFont="1" applyFill="1" applyBorder="1" applyAlignment="1" applyProtection="1">
      <alignment horizontal="center" vertical="top"/>
      <protection/>
    </xf>
    <xf numFmtId="0" fontId="101" fillId="0" borderId="0" xfId="0" applyFont="1" applyFill="1" applyBorder="1" applyAlignment="1" applyProtection="1">
      <alignment horizontal="center" wrapText="1"/>
      <protection/>
    </xf>
    <xf numFmtId="0" fontId="119" fillId="0" borderId="0" xfId="0" applyFont="1" applyFill="1" applyBorder="1" applyAlignment="1" applyProtection="1">
      <alignment vertical="top"/>
      <protection/>
    </xf>
    <xf numFmtId="1" fontId="120" fillId="0" borderId="12" xfId="0" applyNumberFormat="1" applyFont="1" applyBorder="1" applyAlignment="1" applyProtection="1">
      <alignment horizontal="center" vertical="center"/>
      <protection locked="0"/>
    </xf>
    <xf numFmtId="0" fontId="106" fillId="0" borderId="17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117" fillId="0" borderId="10" xfId="0" applyFont="1" applyFill="1" applyBorder="1" applyAlignment="1" applyProtection="1">
      <alignment horizontal="center" vertical="center" wrapText="1"/>
      <protection/>
    </xf>
    <xf numFmtId="0" fontId="117" fillId="0" borderId="18" xfId="0" applyFont="1" applyFill="1" applyBorder="1" applyAlignment="1" applyProtection="1">
      <alignment horizontal="center" vertical="center" wrapText="1"/>
      <protection/>
    </xf>
    <xf numFmtId="0" fontId="106" fillId="0" borderId="14" xfId="0" applyFont="1" applyBorder="1" applyAlignment="1" applyProtection="1">
      <alignment horizontal="center" wrapText="1"/>
      <protection/>
    </xf>
    <xf numFmtId="169" fontId="121" fillId="0" borderId="19" xfId="0" applyNumberFormat="1" applyFont="1" applyBorder="1" applyAlignment="1" applyProtection="1">
      <alignment horizontal="center" vertical="center"/>
      <protection/>
    </xf>
    <xf numFmtId="0" fontId="32" fillId="0" borderId="10" xfId="0" applyFont="1" applyBorder="1" applyAlignment="1" applyProtection="1">
      <alignment horizontal="right" vertical="center" wrapText="1"/>
      <protection/>
    </xf>
    <xf numFmtId="0" fontId="32" fillId="0" borderId="12" xfId="0" applyFont="1" applyBorder="1" applyAlignment="1" applyProtection="1">
      <alignment horizontal="center" vertical="center" wrapText="1"/>
      <protection/>
    </xf>
    <xf numFmtId="167" fontId="39" fillId="0" borderId="20" xfId="0" applyNumberFormat="1" applyFont="1" applyBorder="1" applyAlignment="1" applyProtection="1">
      <alignment horizontal="center" vertical="center"/>
      <protection/>
    </xf>
    <xf numFmtId="167" fontId="122" fillId="0" borderId="12" xfId="44" applyNumberFormat="1" applyFont="1" applyBorder="1" applyAlignment="1" applyProtection="1">
      <alignment horizontal="center" vertical="center"/>
      <protection locked="0"/>
    </xf>
    <xf numFmtId="167" fontId="123" fillId="0" borderId="21" xfId="44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wrapText="1"/>
    </xf>
    <xf numFmtId="0" fontId="124" fillId="0" borderId="0" xfId="0" applyFont="1" applyAlignment="1">
      <alignment horizontal="center"/>
    </xf>
    <xf numFmtId="0" fontId="124" fillId="0" borderId="0" xfId="0" applyFont="1" applyAlignment="1">
      <alignment horizontal="center" wrapText="1"/>
    </xf>
    <xf numFmtId="0" fontId="93" fillId="33" borderId="0" xfId="53" applyFill="1" applyAlignment="1">
      <alignment wrapText="1"/>
    </xf>
    <xf numFmtId="0" fontId="0" fillId="0" borderId="0" xfId="0" applyAlignment="1">
      <alignment vertical="center" wrapText="1"/>
    </xf>
    <xf numFmtId="171" fontId="12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"/>
    </xf>
    <xf numFmtId="166" fontId="39" fillId="0" borderId="12" xfId="0" applyNumberFormat="1" applyFont="1" applyBorder="1" applyAlignment="1" applyProtection="1">
      <alignment horizontal="center" vertical="center" wrapText="1"/>
      <protection locked="0"/>
    </xf>
    <xf numFmtId="167" fontId="39" fillId="0" borderId="12" xfId="44" applyNumberFormat="1" applyFont="1" applyBorder="1" applyAlignment="1" applyProtection="1">
      <alignment horizontal="center" vertical="center"/>
      <protection/>
    </xf>
    <xf numFmtId="0" fontId="108" fillId="0" borderId="18" xfId="0" applyFont="1" applyBorder="1" applyAlignment="1" applyProtection="1">
      <alignment horizontal="center" vertical="center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32" fillId="0" borderId="18" xfId="0" applyFont="1" applyBorder="1" applyAlignment="1" applyProtection="1">
      <alignment horizontal="center" vertical="center" wrapText="1"/>
      <protection/>
    </xf>
    <xf numFmtId="166" fontId="109" fillId="0" borderId="18" xfId="0" applyNumberFormat="1" applyFont="1" applyBorder="1" applyAlignment="1" applyProtection="1">
      <alignment horizontal="center" vertical="center" wrapText="1"/>
      <protection/>
    </xf>
    <xf numFmtId="0" fontId="0" fillId="34" borderId="11" xfId="0" applyFill="1" applyBorder="1" applyAlignment="1" applyProtection="1">
      <alignment horizontal="center"/>
      <protection/>
    </xf>
    <xf numFmtId="0" fontId="125" fillId="34" borderId="10" xfId="0" applyFont="1" applyFill="1" applyBorder="1" applyAlignment="1" applyProtection="1">
      <alignment horizontal="center" vertical="center" wrapText="1"/>
      <protection/>
    </xf>
    <xf numFmtId="0" fontId="125" fillId="34" borderId="13" xfId="0" applyFont="1" applyFill="1" applyBorder="1" applyAlignment="1" applyProtection="1">
      <alignment horizontal="center" vertical="center" wrapText="1"/>
      <protection/>
    </xf>
    <xf numFmtId="0" fontId="126" fillId="34" borderId="22" xfId="0" applyFont="1" applyFill="1" applyBorder="1" applyAlignment="1" applyProtection="1">
      <alignment horizontal="center" wrapText="1"/>
      <protection/>
    </xf>
    <xf numFmtId="0" fontId="0" fillId="34" borderId="23" xfId="0" applyFill="1" applyBorder="1" applyAlignment="1" applyProtection="1">
      <alignment horizontal="center"/>
      <protection/>
    </xf>
    <xf numFmtId="167" fontId="127" fillId="0" borderId="12" xfId="44" applyNumberFormat="1" applyFont="1" applyBorder="1" applyAlignment="1" applyProtection="1">
      <alignment horizontal="center" vertical="center"/>
      <protection/>
    </xf>
    <xf numFmtId="166" fontId="83" fillId="0" borderId="0" xfId="0" applyNumberFormat="1" applyFont="1" applyAlignment="1" applyProtection="1">
      <alignment horizontal="center"/>
      <protection/>
    </xf>
    <xf numFmtId="167" fontId="57" fillId="0" borderId="0" xfId="0" applyNumberFormat="1" applyFont="1" applyBorder="1" applyAlignment="1" applyProtection="1">
      <alignment horizontal="center"/>
      <protection/>
    </xf>
    <xf numFmtId="167" fontId="0" fillId="0" borderId="0" xfId="0" applyNumberFormat="1" applyBorder="1" applyAlignment="1" applyProtection="1">
      <alignment horizontal="center"/>
      <protection/>
    </xf>
    <xf numFmtId="0" fontId="128" fillId="34" borderId="23" xfId="0" applyFont="1" applyFill="1" applyBorder="1" applyAlignment="1" applyProtection="1">
      <alignment horizontal="center" vertical="center" wrapText="1"/>
      <protection/>
    </xf>
    <xf numFmtId="0" fontId="101" fillId="0" borderId="22" xfId="0" applyFont="1" applyBorder="1" applyAlignment="1" applyProtection="1">
      <alignment horizontal="center" vertical="center"/>
      <protection/>
    </xf>
    <xf numFmtId="0" fontId="116" fillId="0" borderId="18" xfId="0" applyFont="1" applyBorder="1" applyAlignment="1" applyProtection="1">
      <alignment horizontal="center" vertical="center" wrapText="1"/>
      <protection/>
    </xf>
    <xf numFmtId="0" fontId="58" fillId="0" borderId="18" xfId="0" applyFont="1" applyBorder="1" applyAlignment="1" applyProtection="1">
      <alignment horizontal="center" vertical="center" wrapText="1"/>
      <protection/>
    </xf>
    <xf numFmtId="4" fontId="59" fillId="0" borderId="20" xfId="44" applyNumberFormat="1" applyFont="1" applyFill="1" applyBorder="1" applyAlignment="1" applyProtection="1">
      <alignment horizontal="center" vertical="center"/>
      <protection/>
    </xf>
    <xf numFmtId="3" fontId="129" fillId="0" borderId="12" xfId="0" applyNumberFormat="1" applyFont="1" applyFill="1" applyBorder="1" applyAlignment="1" applyProtection="1">
      <alignment horizontal="center" vertical="center"/>
      <protection/>
    </xf>
    <xf numFmtId="4" fontId="59" fillId="0" borderId="12" xfId="44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106" fillId="0" borderId="14" xfId="0" applyFont="1" applyBorder="1" applyAlignment="1" applyProtection="1">
      <alignment horizontal="right" vertical="center"/>
      <protection/>
    </xf>
    <xf numFmtId="166" fontId="39" fillId="0" borderId="19" xfId="0" applyNumberFormat="1" applyFont="1" applyBorder="1" applyAlignment="1" applyProtection="1">
      <alignment horizontal="center" vertical="center" wrapText="1"/>
      <protection/>
    </xf>
    <xf numFmtId="0" fontId="41" fillId="34" borderId="16" xfId="0" applyFont="1" applyFill="1" applyBorder="1" applyAlignment="1" applyProtection="1">
      <alignment horizontal="center" vertical="center"/>
      <protection/>
    </xf>
    <xf numFmtId="0" fontId="101" fillId="34" borderId="19" xfId="0" applyFont="1" applyFill="1" applyBorder="1" applyAlignment="1" applyProtection="1">
      <alignment horizontal="center" wrapText="1"/>
      <protection/>
    </xf>
    <xf numFmtId="0" fontId="101" fillId="34" borderId="23" xfId="0" applyFont="1" applyFill="1" applyBorder="1" applyAlignment="1" applyProtection="1">
      <alignment horizontal="center" wrapText="1"/>
      <protection/>
    </xf>
    <xf numFmtId="2" fontId="124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130" fillId="0" borderId="0" xfId="0" applyFont="1" applyAlignment="1" applyProtection="1">
      <alignment horizontal="right"/>
      <protection/>
    </xf>
    <xf numFmtId="166" fontId="113" fillId="0" borderId="20" xfId="0" applyNumberFormat="1" applyFont="1" applyBorder="1" applyAlignment="1" applyProtection="1">
      <alignment horizontal="center" vertical="center" wrapText="1"/>
      <protection/>
    </xf>
    <xf numFmtId="0" fontId="41" fillId="34" borderId="16" xfId="0" applyFont="1" applyFill="1" applyBorder="1" applyAlignment="1" applyProtection="1">
      <alignment horizontal="left" vertical="center"/>
      <protection/>
    </xf>
    <xf numFmtId="1" fontId="0" fillId="34" borderId="19" xfId="0" applyNumberFormat="1" applyFill="1" applyBorder="1" applyAlignment="1" applyProtection="1">
      <alignment horizontal="center" vertical="center"/>
      <protection/>
    </xf>
    <xf numFmtId="0" fontId="0" fillId="34" borderId="19" xfId="0" applyFill="1" applyBorder="1" applyAlignment="1" applyProtection="1">
      <alignment horizontal="center"/>
      <protection/>
    </xf>
    <xf numFmtId="167" fontId="127" fillId="0" borderId="24" xfId="44" applyNumberFormat="1" applyFont="1" applyBorder="1" applyAlignment="1" applyProtection="1">
      <alignment horizontal="center" vertical="center"/>
      <protection locked="0"/>
    </xf>
    <xf numFmtId="0" fontId="62" fillId="2" borderId="0" xfId="0" applyFont="1" applyFill="1" applyBorder="1" applyAlignment="1" applyProtection="1">
      <alignment horizontal="right" vertical="center"/>
      <protection/>
    </xf>
    <xf numFmtId="0" fontId="62" fillId="2" borderId="22" xfId="0" applyFont="1" applyFill="1" applyBorder="1" applyAlignment="1" applyProtection="1" quotePrefix="1">
      <alignment horizontal="center" vertical="center" wrapText="1"/>
      <protection/>
    </xf>
    <xf numFmtId="0" fontId="62" fillId="2" borderId="17" xfId="0" applyFont="1" applyFill="1" applyBorder="1" applyAlignment="1" applyProtection="1">
      <alignment horizontal="left" vertical="center"/>
      <protection/>
    </xf>
    <xf numFmtId="0" fontId="62" fillId="2" borderId="25" xfId="0" applyFont="1" applyFill="1" applyBorder="1" applyAlignment="1" applyProtection="1">
      <alignment horizontal="left" vertical="center"/>
      <protection/>
    </xf>
    <xf numFmtId="0" fontId="41" fillId="34" borderId="16" xfId="0" applyFont="1" applyFill="1" applyBorder="1" applyAlignment="1" applyProtection="1" quotePrefix="1">
      <alignment horizontal="left" vertical="center"/>
      <protection/>
    </xf>
    <xf numFmtId="0" fontId="62" fillId="2" borderId="25" xfId="0" applyFont="1" applyFill="1" applyBorder="1" applyAlignment="1" applyProtection="1" quotePrefix="1">
      <alignment horizontal="left" vertical="center" wrapText="1"/>
      <protection/>
    </xf>
    <xf numFmtId="0" fontId="101" fillId="0" borderId="0" xfId="0" applyFont="1" applyAlignment="1" applyProtection="1">
      <alignment horizontal="center" vertical="center"/>
      <protection locked="0"/>
    </xf>
    <xf numFmtId="0" fontId="131" fillId="0" borderId="0" xfId="0" applyFont="1" applyAlignment="1" applyProtection="1">
      <alignment horizontal="center"/>
      <protection/>
    </xf>
    <xf numFmtId="8" fontId="132" fillId="2" borderId="13" xfId="0" applyNumberFormat="1" applyFont="1" applyFill="1" applyBorder="1" applyAlignment="1" applyProtection="1">
      <alignment horizontal="center" vertical="center"/>
      <protection/>
    </xf>
    <xf numFmtId="167" fontId="133" fillId="2" borderId="14" xfId="0" applyNumberFormat="1" applyFont="1" applyFill="1" applyBorder="1" applyAlignment="1" applyProtection="1">
      <alignment horizontal="left" vertical="center"/>
      <protection/>
    </xf>
    <xf numFmtId="8" fontId="132" fillId="2" borderId="14" xfId="0" applyNumberFormat="1" applyFont="1" applyFill="1" applyBorder="1" applyAlignment="1" applyProtection="1">
      <alignment horizontal="center" vertical="center"/>
      <protection/>
    </xf>
    <xf numFmtId="9" fontId="134" fillId="2" borderId="11" xfId="0" applyNumberFormat="1" applyFont="1" applyFill="1" applyBorder="1" applyAlignment="1" applyProtection="1">
      <alignment horizontal="center" vertical="center" wrapText="1"/>
      <protection/>
    </xf>
    <xf numFmtId="167" fontId="133" fillId="2" borderId="14" xfId="0" applyNumberFormat="1" applyFont="1" applyFill="1" applyBorder="1" applyAlignment="1" applyProtection="1" quotePrefix="1">
      <alignment horizontal="left" vertical="center"/>
      <protection/>
    </xf>
    <xf numFmtId="166" fontId="39" fillId="0" borderId="25" xfId="0" applyNumberFormat="1" applyFont="1" applyBorder="1" applyAlignment="1" applyProtection="1">
      <alignment horizontal="center" vertical="center" wrapText="1"/>
      <protection/>
    </xf>
    <xf numFmtId="166" fontId="39" fillId="0" borderId="0" xfId="0" applyNumberFormat="1" applyFont="1" applyBorder="1" applyAlignment="1" applyProtection="1">
      <alignment horizontal="center" vertical="center" wrapText="1"/>
      <protection/>
    </xf>
    <xf numFmtId="0" fontId="106" fillId="34" borderId="26" xfId="0" applyFont="1" applyFill="1" applyBorder="1" applyAlignment="1" applyProtection="1">
      <alignment horizontal="right" vertical="center"/>
      <protection/>
    </xf>
    <xf numFmtId="0" fontId="0" fillId="0" borderId="23" xfId="0" applyBorder="1" applyAlignment="1" applyProtection="1">
      <alignment horizontal="center"/>
      <protection/>
    </xf>
    <xf numFmtId="168" fontId="39" fillId="0" borderId="14" xfId="0" applyNumberFormat="1" applyFont="1" applyBorder="1" applyAlignment="1" applyProtection="1">
      <alignment horizontal="center" vertical="center" wrapText="1"/>
      <protection/>
    </xf>
    <xf numFmtId="0" fontId="116" fillId="0" borderId="11" xfId="0" applyFont="1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/>
      <protection/>
    </xf>
    <xf numFmtId="0" fontId="66" fillId="0" borderId="0" xfId="0" applyFont="1" applyFill="1" applyBorder="1" applyAlignment="1" applyProtection="1">
      <alignment vertical="center" wrapText="1"/>
      <protection/>
    </xf>
    <xf numFmtId="8" fontId="118" fillId="0" borderId="0" xfId="0" applyNumberFormat="1" applyFont="1" applyFill="1" applyBorder="1" applyAlignment="1" applyProtection="1">
      <alignment vertical="center"/>
      <protection/>
    </xf>
    <xf numFmtId="0" fontId="135" fillId="34" borderId="23" xfId="0" applyFont="1" applyFill="1" applyBorder="1" applyAlignment="1" applyProtection="1">
      <alignment horizontal="center" vertical="center"/>
      <protection/>
    </xf>
    <xf numFmtId="1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136" fillId="34" borderId="16" xfId="53" applyFont="1" applyFill="1" applyBorder="1" applyAlignment="1" applyProtection="1">
      <alignment horizontal="center" vertical="center"/>
      <protection/>
    </xf>
    <xf numFmtId="167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 quotePrefix="1">
      <alignment horizontal="center"/>
      <protection/>
    </xf>
    <xf numFmtId="0" fontId="69" fillId="0" borderId="12" xfId="53" applyFont="1" applyBorder="1" applyAlignment="1" applyProtection="1">
      <alignment horizontal="center" vertical="center" wrapText="1"/>
      <protection locked="0"/>
    </xf>
    <xf numFmtId="0" fontId="0" fillId="2" borderId="0" xfId="0" applyFont="1" applyFill="1" applyAlignment="1" applyProtection="1">
      <alignment horizontal="left" vertical="center"/>
      <protection/>
    </xf>
    <xf numFmtId="0" fontId="71" fillId="2" borderId="10" xfId="53" applyFont="1" applyFill="1" applyBorder="1" applyAlignment="1" applyProtection="1">
      <alignment horizontal="right" vertical="center" wrapText="1"/>
      <protection/>
    </xf>
    <xf numFmtId="0" fontId="137" fillId="2" borderId="10" xfId="0" applyFont="1" applyFill="1" applyBorder="1" applyAlignment="1" applyProtection="1" quotePrefix="1">
      <alignment horizontal="right" vertical="center"/>
      <protection/>
    </xf>
    <xf numFmtId="0" fontId="101" fillId="2" borderId="0" xfId="0" applyFont="1" applyFill="1" applyAlignment="1" applyProtection="1">
      <alignment horizontal="center" vertical="center"/>
      <protection/>
    </xf>
    <xf numFmtId="0" fontId="116" fillId="2" borderId="0" xfId="0" applyFont="1" applyFill="1" applyBorder="1" applyAlignment="1" applyProtection="1">
      <alignment horizontal="center" vertical="center" wrapText="1"/>
      <protection/>
    </xf>
    <xf numFmtId="0" fontId="58" fillId="2" borderId="0" xfId="0" applyFont="1" applyFill="1" applyBorder="1" applyAlignment="1" applyProtection="1">
      <alignment horizontal="center" vertical="center" wrapText="1"/>
      <protection/>
    </xf>
    <xf numFmtId="0" fontId="137" fillId="2" borderId="10" xfId="0" applyFont="1" applyFill="1" applyBorder="1" applyAlignment="1" applyProtection="1">
      <alignment horizontal="right" vertical="center"/>
      <protection/>
    </xf>
    <xf numFmtId="0" fontId="58" fillId="2" borderId="10" xfId="53" applyFont="1" applyFill="1" applyBorder="1" applyAlignment="1" applyProtection="1">
      <alignment horizontal="right" vertical="center" wrapText="1"/>
      <protection/>
    </xf>
    <xf numFmtId="168" fontId="69" fillId="0" borderId="12" xfId="0" applyNumberFormat="1" applyFont="1" applyBorder="1" applyAlignment="1" applyProtection="1">
      <alignment horizontal="center" vertical="center" wrapText="1"/>
      <protection locked="0"/>
    </xf>
    <xf numFmtId="170" fontId="69" fillId="0" borderId="12" xfId="53" applyNumberFormat="1" applyFont="1" applyBorder="1" applyAlignment="1" applyProtection="1">
      <alignment horizontal="center" vertical="center"/>
      <protection locked="0"/>
    </xf>
    <xf numFmtId="16" fontId="69" fillId="2" borderId="19" xfId="53" applyNumberFormat="1" applyFont="1" applyFill="1" applyBorder="1" applyAlignment="1" applyProtection="1">
      <alignment horizontal="center" vertical="center" wrapText="1"/>
      <protection/>
    </xf>
    <xf numFmtId="0" fontId="58" fillId="2" borderId="13" xfId="53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horizontal="center"/>
      <protection/>
    </xf>
    <xf numFmtId="170" fontId="72" fillId="2" borderId="15" xfId="0" applyNumberFormat="1" applyFont="1" applyFill="1" applyBorder="1" applyAlignment="1" applyProtection="1">
      <alignment horizontal="center" vertical="center"/>
      <protection/>
    </xf>
    <xf numFmtId="170" fontId="72" fillId="2" borderId="11" xfId="0" applyNumberFormat="1" applyFont="1" applyFill="1" applyBorder="1" applyAlignment="1" applyProtection="1">
      <alignment horizontal="center" vertical="center"/>
      <protection/>
    </xf>
    <xf numFmtId="8" fontId="133" fillId="2" borderId="13" xfId="0" applyNumberFormat="1" applyFont="1" applyFill="1" applyBorder="1" applyAlignment="1" applyProtection="1">
      <alignment horizontal="center" vertical="center"/>
      <protection/>
    </xf>
    <xf numFmtId="8" fontId="133" fillId="2" borderId="14" xfId="0" applyNumberFormat="1" applyFont="1" applyFill="1" applyBorder="1" applyAlignment="1" applyProtection="1">
      <alignment horizontal="center" vertical="center"/>
      <protection/>
    </xf>
    <xf numFmtId="0" fontId="138" fillId="34" borderId="19" xfId="0" applyFont="1" applyFill="1" applyBorder="1" applyAlignment="1" applyProtection="1">
      <alignment horizontal="left" vertical="center" indent="3"/>
      <protection/>
    </xf>
    <xf numFmtId="0" fontId="0" fillId="0" borderId="0" xfId="0" applyFont="1" applyAlignment="1">
      <alignment/>
    </xf>
    <xf numFmtId="0" fontId="128" fillId="0" borderId="0" xfId="0" applyFont="1" applyAlignment="1">
      <alignment/>
    </xf>
    <xf numFmtId="0" fontId="128" fillId="0" borderId="0" xfId="0" applyFont="1" applyAlignment="1">
      <alignment vertical="center"/>
    </xf>
    <xf numFmtId="0" fontId="110" fillId="34" borderId="16" xfId="0" applyFont="1" applyFill="1" applyBorder="1" applyAlignment="1">
      <alignment/>
    </xf>
    <xf numFmtId="0" fontId="107" fillId="34" borderId="19" xfId="0" applyFont="1" applyFill="1" applyBorder="1" applyAlignment="1">
      <alignment/>
    </xf>
    <xf numFmtId="0" fontId="110" fillId="34" borderId="19" xfId="0" applyFont="1" applyFill="1" applyBorder="1" applyAlignment="1">
      <alignment/>
    </xf>
    <xf numFmtId="0" fontId="110" fillId="34" borderId="23" xfId="0" applyFont="1" applyFill="1" applyBorder="1" applyAlignment="1">
      <alignment/>
    </xf>
    <xf numFmtId="0" fontId="110" fillId="0" borderId="0" xfId="0" applyFont="1" applyAlignment="1">
      <alignment/>
    </xf>
    <xf numFmtId="0" fontId="110" fillId="34" borderId="10" xfId="0" applyFont="1" applyFill="1" applyBorder="1" applyAlignment="1">
      <alignment horizontal="center" vertical="center"/>
    </xf>
    <xf numFmtId="0" fontId="106" fillId="34" borderId="0" xfId="0" applyFont="1" applyFill="1" applyBorder="1" applyAlignment="1">
      <alignment horizontal="right" vertical="center"/>
    </xf>
    <xf numFmtId="167" fontId="110" fillId="0" borderId="20" xfId="0" applyNumberFormat="1" applyFont="1" applyBorder="1" applyAlignment="1" applyProtection="1">
      <alignment horizontal="center" vertical="center"/>
      <protection locked="0"/>
    </xf>
    <xf numFmtId="0" fontId="106" fillId="34" borderId="0" xfId="0" applyFont="1" applyFill="1" applyBorder="1" applyAlignment="1">
      <alignment horizontal="center" vertical="center" wrapText="1"/>
    </xf>
    <xf numFmtId="0" fontId="110" fillId="0" borderId="20" xfId="0" applyFont="1" applyBorder="1" applyAlignment="1" applyProtection="1">
      <alignment horizontal="center" vertical="center"/>
      <protection locked="0"/>
    </xf>
    <xf numFmtId="0" fontId="110" fillId="34" borderId="0" xfId="0" applyFont="1" applyFill="1" applyBorder="1" applyAlignment="1">
      <alignment horizontal="center" vertical="center"/>
    </xf>
    <xf numFmtId="0" fontId="110" fillId="34" borderId="18" xfId="0" applyFont="1" applyFill="1" applyBorder="1" applyAlignment="1">
      <alignment horizontal="center" vertical="center"/>
    </xf>
    <xf numFmtId="0" fontId="110" fillId="0" borderId="0" xfId="0" applyFont="1" applyAlignment="1">
      <alignment horizontal="center" vertical="center"/>
    </xf>
    <xf numFmtId="167" fontId="110" fillId="0" borderId="12" xfId="0" applyNumberFormat="1" applyFont="1" applyBorder="1" applyAlignment="1" applyProtection="1">
      <alignment horizontal="center" vertical="center"/>
      <protection locked="0"/>
    </xf>
    <xf numFmtId="0" fontId="110" fillId="34" borderId="13" xfId="0" applyFont="1" applyFill="1" applyBorder="1" applyAlignment="1">
      <alignment/>
    </xf>
    <xf numFmtId="0" fontId="110" fillId="34" borderId="14" xfId="0" applyFont="1" applyFill="1" applyBorder="1" applyAlignment="1">
      <alignment/>
    </xf>
    <xf numFmtId="0" fontId="110" fillId="34" borderId="11" xfId="0" applyFont="1" applyFill="1" applyBorder="1" applyAlignment="1">
      <alignment/>
    </xf>
    <xf numFmtId="0" fontId="139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93" fillId="0" borderId="0" xfId="53" applyAlignment="1" applyProtection="1">
      <alignment vertical="center"/>
      <protection/>
    </xf>
    <xf numFmtId="2" fontId="111" fillId="0" borderId="16" xfId="0" applyNumberFormat="1" applyFont="1" applyBorder="1" applyAlignment="1" applyProtection="1">
      <alignment horizontal="center" vertical="center"/>
      <protection/>
    </xf>
    <xf numFmtId="2" fontId="121" fillId="0" borderId="19" xfId="0" applyNumberFormat="1" applyFont="1" applyBorder="1" applyAlignment="1" applyProtection="1">
      <alignment horizontal="center" vertical="center"/>
      <protection/>
    </xf>
    <xf numFmtId="0" fontId="140" fillId="0" borderId="0" xfId="0" applyFont="1" applyAlignment="1">
      <alignment horizontal="center" vertical="center"/>
    </xf>
    <xf numFmtId="0" fontId="101" fillId="0" borderId="0" xfId="0" applyFont="1" applyAlignment="1">
      <alignment horizontal="left" wrapText="1"/>
    </xf>
    <xf numFmtId="0" fontId="120" fillId="0" borderId="0" xfId="0" applyFont="1" applyAlignment="1">
      <alignment horizontal="left"/>
    </xf>
    <xf numFmtId="0" fontId="141" fillId="0" borderId="0" xfId="0" applyFont="1" applyAlignment="1">
      <alignment horizontal="left"/>
    </xf>
    <xf numFmtId="0" fontId="66" fillId="2" borderId="25" xfId="0" applyFont="1" applyFill="1" applyBorder="1" applyAlignment="1" applyProtection="1">
      <alignment horizontal="center" vertical="center" wrapText="1"/>
      <protection/>
    </xf>
    <xf numFmtId="0" fontId="66" fillId="2" borderId="14" xfId="0" applyFont="1" applyFill="1" applyBorder="1" applyAlignment="1" applyProtection="1">
      <alignment horizontal="center" vertical="center" wrapText="1"/>
      <protection/>
    </xf>
    <xf numFmtId="0" fontId="93" fillId="34" borderId="19" xfId="53" applyFill="1" applyBorder="1" applyAlignment="1" applyProtection="1">
      <alignment horizontal="left" vertical="center" indent="2"/>
      <protection/>
    </xf>
    <xf numFmtId="0" fontId="93" fillId="34" borderId="23" xfId="53" applyFill="1" applyBorder="1" applyAlignment="1" applyProtection="1">
      <alignment horizontal="left" vertical="center" indent="2"/>
      <protection/>
    </xf>
    <xf numFmtId="167" fontId="77" fillId="2" borderId="25" xfId="0" applyNumberFormat="1" applyFont="1" applyFill="1" applyBorder="1" applyAlignment="1" applyProtection="1">
      <alignment horizontal="center" vertical="center"/>
      <protection/>
    </xf>
    <xf numFmtId="167" fontId="77" fillId="2" borderId="14" xfId="0" applyNumberFormat="1" applyFont="1" applyFill="1" applyBorder="1" applyAlignment="1" applyProtection="1">
      <alignment horizontal="center" vertical="center"/>
      <protection/>
    </xf>
    <xf numFmtId="0" fontId="116" fillId="2" borderId="22" xfId="0" applyFont="1" applyFill="1" applyBorder="1" applyAlignment="1" applyProtection="1">
      <alignment horizontal="center" vertical="center" wrapText="1"/>
      <protection/>
    </xf>
    <xf numFmtId="0" fontId="116" fillId="2" borderId="11" xfId="0" applyFont="1" applyFill="1" applyBorder="1" applyAlignment="1" applyProtection="1">
      <alignment horizontal="center" vertical="center" wrapText="1"/>
      <protection/>
    </xf>
    <xf numFmtId="9" fontId="142" fillId="0" borderId="0" xfId="59" applyFont="1" applyFill="1" applyBorder="1" applyAlignment="1" applyProtection="1">
      <alignment horizontal="center" vertical="center"/>
      <protection/>
    </xf>
    <xf numFmtId="0" fontId="77" fillId="0" borderId="0" xfId="0" applyFont="1" applyAlignment="1" applyProtection="1">
      <alignment horizontal="right" vertical="center"/>
      <protection/>
    </xf>
    <xf numFmtId="0" fontId="118" fillId="0" borderId="0" xfId="0" applyFont="1" applyBorder="1" applyAlignment="1" applyProtection="1">
      <alignment horizontal="left" vertical="center" indent="2"/>
      <protection/>
    </xf>
    <xf numFmtId="0" fontId="41" fillId="34" borderId="16" xfId="0" applyFont="1" applyFill="1" applyBorder="1" applyAlignment="1" applyProtection="1">
      <alignment horizontal="left" vertical="center" wrapText="1"/>
      <protection/>
    </xf>
    <xf numFmtId="0" fontId="41" fillId="34" borderId="19" xfId="0" applyFont="1" applyFill="1" applyBorder="1" applyAlignment="1" applyProtection="1">
      <alignment horizontal="left" vertical="center" wrapText="1"/>
      <protection/>
    </xf>
    <xf numFmtId="0" fontId="143" fillId="2" borderId="19" xfId="0" applyFont="1" applyFill="1" applyBorder="1" applyAlignment="1" applyProtection="1">
      <alignment horizontal="center" vertical="center"/>
      <protection/>
    </xf>
    <xf numFmtId="0" fontId="71" fillId="0" borderId="17" xfId="0" applyFont="1" applyFill="1" applyBorder="1" applyAlignment="1" applyProtection="1">
      <alignment horizontal="center" vertical="center" wrapText="1"/>
      <protection/>
    </xf>
    <xf numFmtId="0" fontId="71" fillId="0" borderId="22" xfId="0" applyFont="1" applyFill="1" applyBorder="1" applyAlignment="1" applyProtection="1">
      <alignment horizontal="center" vertical="center" wrapText="1"/>
      <protection/>
    </xf>
    <xf numFmtId="0" fontId="80" fillId="2" borderId="17" xfId="0" applyFont="1" applyFill="1" applyBorder="1" applyAlignment="1" applyProtection="1">
      <alignment horizontal="center" vertical="center"/>
      <protection/>
    </xf>
    <xf numFmtId="0" fontId="80" fillId="2" borderId="13" xfId="0" applyFont="1" applyFill="1" applyBorder="1" applyAlignment="1" applyProtection="1">
      <alignment horizontal="center" vertical="center"/>
      <protection/>
    </xf>
    <xf numFmtId="0" fontId="117" fillId="0" borderId="10" xfId="0" applyFont="1" applyBorder="1" applyAlignment="1" applyProtection="1">
      <alignment horizontal="center" vertical="center"/>
      <protection/>
    </xf>
    <xf numFmtId="0" fontId="117" fillId="0" borderId="18" xfId="0" applyFont="1" applyBorder="1" applyAlignment="1" applyProtection="1">
      <alignment horizontal="center" vertical="center"/>
      <protection/>
    </xf>
    <xf numFmtId="0" fontId="144" fillId="0" borderId="0" xfId="0" applyFont="1" applyBorder="1" applyAlignment="1" applyProtection="1">
      <alignment horizontal="left" vertical="center" indent="2"/>
      <protection/>
    </xf>
    <xf numFmtId="0" fontId="143" fillId="0" borderId="19" xfId="0" applyFont="1" applyBorder="1" applyAlignment="1" applyProtection="1">
      <alignment horizontal="center" vertical="center"/>
      <protection/>
    </xf>
    <xf numFmtId="0" fontId="62" fillId="2" borderId="17" xfId="0" applyFont="1" applyFill="1" applyBorder="1" applyAlignment="1" applyProtection="1">
      <alignment horizontal="left" vertical="center"/>
      <protection/>
    </xf>
    <xf numFmtId="0" fontId="62" fillId="2" borderId="25" xfId="0" applyFont="1" applyFill="1" applyBorder="1" applyAlignment="1" applyProtection="1">
      <alignment horizontal="left" vertical="center"/>
      <protection/>
    </xf>
    <xf numFmtId="0" fontId="62" fillId="2" borderId="25" xfId="0" applyFont="1" applyFill="1" applyBorder="1" applyAlignment="1" applyProtection="1" quotePrefix="1">
      <alignment horizontal="left" vertical="center" wrapText="1"/>
      <protection/>
    </xf>
    <xf numFmtId="0" fontId="62" fillId="2" borderId="22" xfId="0" applyFont="1" applyFill="1" applyBorder="1" applyAlignment="1" applyProtection="1" quotePrefix="1">
      <alignment horizontal="left" vertical="center" wrapText="1"/>
      <protection/>
    </xf>
    <xf numFmtId="0" fontId="128" fillId="0" borderId="0" xfId="0" applyFont="1" applyAlignment="1">
      <alignment horizontal="right" vertical="center"/>
    </xf>
    <xf numFmtId="0" fontId="145" fillId="0" borderId="12" xfId="0" applyFont="1" applyBorder="1" applyAlignment="1" applyProtection="1">
      <alignment horizontal="center" vertical="center"/>
      <protection/>
    </xf>
    <xf numFmtId="0" fontId="141" fillId="0" borderId="12" xfId="0" applyFont="1" applyBorder="1" applyAlignment="1" applyProtection="1">
      <alignment horizontal="center" vertical="center"/>
      <protection locked="0"/>
    </xf>
    <xf numFmtId="7" fontId="120" fillId="0" borderId="12" xfId="44" applyNumberFormat="1" applyFont="1" applyBorder="1" applyAlignment="1" applyProtection="1">
      <alignment horizontal="center" vertical="center"/>
      <protection locked="0"/>
    </xf>
    <xf numFmtId="0" fontId="70" fillId="0" borderId="12" xfId="0" applyFont="1" applyBorder="1" applyAlignment="1" applyProtection="1">
      <alignment horizontal="center" vertical="center"/>
      <protection/>
    </xf>
    <xf numFmtId="0" fontId="141" fillId="0" borderId="0" xfId="0" applyFont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b/>
        <i val="0"/>
        <u val="none"/>
        <strike val="0"/>
        <color theme="1"/>
      </font>
    </dxf>
    <dxf>
      <font>
        <b/>
        <i val="0"/>
        <u val="none"/>
        <strike val="0"/>
        <color theme="1"/>
      </font>
    </dxf>
    <dxf>
      <font>
        <b/>
        <i val="0"/>
        <u val="none"/>
        <strike val="0"/>
        <color theme="1"/>
      </font>
    </dxf>
    <dxf>
      <font>
        <b/>
        <i val="0"/>
        <u val="none"/>
        <strike val="0"/>
        <color theme="1"/>
      </font>
      <border/>
    </dxf>
    <dxf>
      <font>
        <color theme="4" tint="0.7999799847602844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2:I20"/>
  <sheetViews>
    <sheetView showGridLines="0" showRowColHeaders="0" tabSelected="1" zoomScalePageLayoutView="0" workbookViewId="0" topLeftCell="A1">
      <selection activeCell="C10" sqref="C10"/>
    </sheetView>
  </sheetViews>
  <sheetFormatPr defaultColWidth="9.140625" defaultRowHeight="15"/>
  <cols>
    <col min="1" max="1" width="3.7109375" style="0" customWidth="1"/>
    <col min="2" max="2" width="28.421875" style="0" customWidth="1"/>
    <col min="3" max="3" width="12.8515625" style="0" customWidth="1"/>
    <col min="4" max="4" width="23.8515625" style="0" customWidth="1"/>
    <col min="5" max="5" width="15.00390625" style="0" customWidth="1"/>
    <col min="6" max="6" width="3.140625" style="0" customWidth="1"/>
    <col min="7" max="7" width="19.8515625" style="0" customWidth="1"/>
    <col min="8" max="8" width="13.8515625" style="0" customWidth="1"/>
    <col min="9" max="9" width="3.140625" style="0" customWidth="1"/>
  </cols>
  <sheetData>
    <row r="1" ht="12" customHeight="1"/>
    <row r="2" spans="2:8" ht="30" customHeight="1">
      <c r="B2" s="183" t="s">
        <v>67</v>
      </c>
      <c r="C2" s="183"/>
      <c r="D2" s="183"/>
      <c r="E2" s="183"/>
      <c r="F2" s="183"/>
      <c r="G2" s="183"/>
      <c r="H2" s="183"/>
    </row>
    <row r="3" ht="15">
      <c r="H3" s="105" t="str">
        <f>"Version "&amp;TEXT(Version,"0.00")</f>
        <v>Version 3.00</v>
      </c>
    </row>
    <row r="4" spans="2:8" s="158" customFormat="1" ht="66.75" customHeight="1">
      <c r="B4" s="184" t="s">
        <v>71</v>
      </c>
      <c r="C4" s="184"/>
      <c r="D4" s="184"/>
      <c r="E4" s="184"/>
      <c r="F4" s="184"/>
      <c r="G4" s="184"/>
      <c r="H4" s="184"/>
    </row>
    <row r="5" s="159" customFormat="1" ht="18.75" customHeight="1">
      <c r="B5" s="160" t="s">
        <v>62</v>
      </c>
    </row>
    <row r="6" s="159" customFormat="1" ht="8.25" customHeight="1">
      <c r="B6" s="160"/>
    </row>
    <row r="7" spans="2:5" s="213" customFormat="1" ht="34.5" customHeight="1">
      <c r="B7" s="218" t="s">
        <v>79</v>
      </c>
      <c r="C7" s="215"/>
      <c r="D7" s="218" t="s">
        <v>80</v>
      </c>
      <c r="E7" s="216"/>
    </row>
    <row r="8" ht="10.5" customHeight="1"/>
    <row r="9" spans="1:9" s="165" customFormat="1" ht="15.75">
      <c r="A9" s="161"/>
      <c r="B9" s="162" t="s">
        <v>44</v>
      </c>
      <c r="C9" s="163"/>
      <c r="D9" s="163"/>
      <c r="E9" s="163"/>
      <c r="F9" s="163"/>
      <c r="G9" s="163"/>
      <c r="H9" s="163"/>
      <c r="I9" s="164"/>
    </row>
    <row r="10" spans="1:9" s="173" customFormat="1" ht="42.75" customHeight="1">
      <c r="A10" s="166"/>
      <c r="B10" s="167" t="s">
        <v>45</v>
      </c>
      <c r="C10" s="168">
        <v>4.95</v>
      </c>
      <c r="D10" s="169" t="s">
        <v>68</v>
      </c>
      <c r="E10" s="170">
        <v>0</v>
      </c>
      <c r="F10" s="171"/>
      <c r="G10" s="169" t="s">
        <v>47</v>
      </c>
      <c r="H10" s="168">
        <v>4.95</v>
      </c>
      <c r="I10" s="172"/>
    </row>
    <row r="11" spans="1:9" s="173" customFormat="1" ht="36" customHeight="1">
      <c r="A11" s="166"/>
      <c r="B11" s="167" t="s">
        <v>46</v>
      </c>
      <c r="C11" s="174">
        <v>0.65</v>
      </c>
      <c r="D11" s="171"/>
      <c r="E11" s="171"/>
      <c r="F11" s="171"/>
      <c r="G11" s="171"/>
      <c r="H11" s="171"/>
      <c r="I11" s="172"/>
    </row>
    <row r="12" spans="1:9" s="165" customFormat="1" ht="8.25" customHeight="1">
      <c r="A12" s="175"/>
      <c r="B12" s="176"/>
      <c r="C12" s="176"/>
      <c r="D12" s="176"/>
      <c r="E12" s="176"/>
      <c r="F12" s="176"/>
      <c r="G12" s="176"/>
      <c r="H12" s="176"/>
      <c r="I12" s="177"/>
    </row>
    <row r="13" ht="9" customHeight="1"/>
    <row r="14" s="97" customFormat="1" ht="24.75" customHeight="1">
      <c r="B14" s="180"/>
    </row>
    <row r="16" s="97" customFormat="1" ht="24.75" customHeight="1">
      <c r="B16" s="180"/>
    </row>
    <row r="17" ht="8.25" customHeight="1"/>
    <row r="18" spans="2:7" s="158" customFormat="1" ht="18.75">
      <c r="B18" s="178" t="s">
        <v>63</v>
      </c>
      <c r="C18" s="185" t="s">
        <v>64</v>
      </c>
      <c r="D18" s="185"/>
      <c r="E18" s="185"/>
      <c r="F18" s="185"/>
      <c r="G18" s="185"/>
    </row>
    <row r="19" spans="2:5" s="158" customFormat="1" ht="9.75" customHeight="1">
      <c r="B19" s="178"/>
      <c r="C19" s="179"/>
      <c r="D19" s="179"/>
      <c r="E19" s="179"/>
    </row>
    <row r="20" spans="2:7" s="158" customFormat="1" ht="18.75">
      <c r="B20" s="178" t="s">
        <v>65</v>
      </c>
      <c r="C20" s="186" t="s">
        <v>66</v>
      </c>
      <c r="D20" s="186"/>
      <c r="E20" s="186"/>
      <c r="F20" s="186"/>
      <c r="G20" s="186"/>
    </row>
  </sheetData>
  <sheetProtection sheet="1" selectLockedCells="1"/>
  <mergeCells count="4">
    <mergeCell ref="B2:H2"/>
    <mergeCell ref="B4:H4"/>
    <mergeCell ref="C18:G18"/>
    <mergeCell ref="C20:G20"/>
  </mergeCells>
  <printOptions/>
  <pageMargins left="0.7" right="0.7" top="0.75" bottom="0.75" header="0.3" footer="0.3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N29"/>
  <sheetViews>
    <sheetView showGridLines="0" showRowColHeaders="0" showZeros="0" zoomScalePageLayoutView="0" workbookViewId="0" topLeftCell="A1">
      <selection activeCell="B9" sqref="B9"/>
    </sheetView>
  </sheetViews>
  <sheetFormatPr defaultColWidth="9.140625" defaultRowHeight="15"/>
  <cols>
    <col min="1" max="1" width="34.28125" style="13" customWidth="1"/>
    <col min="2" max="2" width="16.421875" style="13" customWidth="1"/>
    <col min="3" max="3" width="24.140625" style="13" customWidth="1"/>
    <col min="4" max="4" width="37.140625" style="13" customWidth="1"/>
    <col min="5" max="7" width="18.00390625" style="13" customWidth="1"/>
    <col min="8" max="8" width="2.140625" style="37" customWidth="1"/>
    <col min="9" max="9" width="11.140625" style="13" customWidth="1"/>
    <col min="10" max="10" width="5.00390625" style="13" customWidth="1"/>
    <col min="11" max="11" width="5.7109375" style="13" customWidth="1"/>
    <col min="12" max="16384" width="9.140625" style="13" customWidth="1"/>
  </cols>
  <sheetData>
    <row r="1" spans="1:9" s="33" customFormat="1" ht="21" customHeight="1">
      <c r="A1" s="196" t="s">
        <v>53</v>
      </c>
      <c r="B1" s="196"/>
      <c r="C1" s="196"/>
      <c r="D1" s="196"/>
      <c r="E1" s="197" t="s">
        <v>5</v>
      </c>
      <c r="F1" s="197"/>
      <c r="I1" s="105" t="str">
        <f>"Version "&amp;TEXT(Version,"0.00")</f>
        <v>Version 3.00</v>
      </c>
    </row>
    <row r="2" spans="1:4" ht="4.5" customHeight="1">
      <c r="A2" s="16"/>
      <c r="B2" s="16"/>
      <c r="C2" s="16"/>
      <c r="D2" s="16"/>
    </row>
    <row r="3" spans="4:8" s="11" customFormat="1" ht="25.5" customHeight="1">
      <c r="D3" s="100" t="s">
        <v>6</v>
      </c>
      <c r="E3" s="101"/>
      <c r="F3" s="101"/>
      <c r="G3" s="102"/>
      <c r="H3" s="52"/>
    </row>
    <row r="4" spans="1:8" s="12" customFormat="1" ht="31.5" customHeight="1">
      <c r="A4" s="32" t="s">
        <v>50</v>
      </c>
      <c r="B4" s="31" t="s">
        <v>10</v>
      </c>
      <c r="C4" s="61"/>
      <c r="D4" s="23"/>
      <c r="G4" s="24"/>
      <c r="H4" s="41"/>
    </row>
    <row r="5" spans="1:14" s="12" customFormat="1" ht="33" customHeight="1">
      <c r="A5" s="217">
        <f>+Ticker</f>
        <v>0</v>
      </c>
      <c r="B5" s="181">
        <f>IF(Ticker="","",Last)</f>
      </c>
      <c r="C5" s="182"/>
      <c r="D5" s="63" t="s">
        <v>7</v>
      </c>
      <c r="E5" s="64" t="str">
        <f>IF(Dates!B14=Dates!D11,"Front Month 
(less than week)","Weekly 
(if Available)")</f>
        <v>Front Month 
(less than week)</v>
      </c>
      <c r="F5" s="64" t="str">
        <f>IF(Dates!B14=Dates!D11,"Second Month","Front Month")</f>
        <v>Second Month</v>
      </c>
      <c r="G5" s="64" t="str">
        <f>IF(Dates!B14=Dates!D11,"Third Month","Second Month")</f>
        <v>Third Month</v>
      </c>
      <c r="H5" s="42"/>
      <c r="K5" s="17"/>
      <c r="L5" s="18">
        <f>+Dates!C14</f>
        <v>5</v>
      </c>
      <c r="M5" s="18">
        <f>+Dates!C15</f>
        <v>33</v>
      </c>
      <c r="N5" s="18">
        <f>+Dates!C16</f>
        <v>68</v>
      </c>
    </row>
    <row r="6" spans="1:8" s="10" customFormat="1" ht="24.75" customHeight="1">
      <c r="A6" s="200"/>
      <c r="B6" s="200"/>
      <c r="C6" s="200"/>
      <c r="D6" s="34"/>
      <c r="E6" s="25">
        <f>IF(+Dates!E14=F6,"",Dates!E14)</f>
        <v>43057</v>
      </c>
      <c r="F6" s="25">
        <f>+Dates!E15</f>
        <v>43085</v>
      </c>
      <c r="G6" s="25">
        <f>+Dates!E16</f>
        <v>43120</v>
      </c>
      <c r="H6" s="43"/>
    </row>
    <row r="7" spans="1:14" s="10" customFormat="1" ht="24.75" customHeight="1" thickBot="1">
      <c r="A7" s="198" t="s">
        <v>11</v>
      </c>
      <c r="B7" s="199"/>
      <c r="C7" s="90"/>
      <c r="D7" s="22" t="s">
        <v>18</v>
      </c>
      <c r="E7" s="67">
        <f>IF(E6="","",IF(B5&lt;&gt;"",0.2*Last/365*L7+tradecost/100,""))</f>
      </c>
      <c r="F7" s="67">
        <f>IF(F6="","",IF(B5&lt;&gt;"",0.2*Last/365*M7+tradecost/100,""))</f>
      </c>
      <c r="G7" s="67">
        <f>IF(G6="","",IF(B5&lt;&gt;"",0.2*Last/365*N7+tradecost/100,""))</f>
      </c>
      <c r="H7" s="44"/>
      <c r="L7" s="19">
        <f ca="1">+E6-TODAY()</f>
        <v>5</v>
      </c>
      <c r="M7" s="19">
        <f ca="1">+F6-TODAY()</f>
        <v>33</v>
      </c>
      <c r="N7" s="19">
        <f ca="1">+G6-TODAY()</f>
        <v>68</v>
      </c>
    </row>
    <row r="8" spans="1:8" s="10" customFormat="1" ht="24.75" customHeight="1">
      <c r="A8" s="140"/>
      <c r="B8" s="143"/>
      <c r="C8" s="143"/>
      <c r="D8" s="26" t="s">
        <v>57</v>
      </c>
      <c r="E8" s="65">
        <f>IF(B13&gt;0,+B13,"")</f>
      </c>
      <c r="F8" s="27"/>
      <c r="G8" s="28"/>
      <c r="H8" s="45"/>
    </row>
    <row r="9" spans="1:8" s="14" customFormat="1" ht="24.75" customHeight="1">
      <c r="A9" s="141"/>
      <c r="B9" s="139"/>
      <c r="C9" s="144">
        <f>IF(LEFT(UPPER(B9),1)="N","Better to sell after a pullback","")</f>
      </c>
      <c r="D9" s="40" t="s">
        <v>9</v>
      </c>
      <c r="E9" s="189"/>
      <c r="F9" s="189"/>
      <c r="G9" s="190"/>
      <c r="H9" s="46"/>
    </row>
    <row r="10" spans="1:8" s="14" customFormat="1" ht="24.75" customHeight="1">
      <c r="A10" s="142"/>
      <c r="B10" s="139"/>
      <c r="C10" s="144">
        <f>IF(LEFT(UPPER(B10),1)="N","Better to sell on a down day","")</f>
      </c>
      <c r="D10" s="55" t="s">
        <v>8</v>
      </c>
      <c r="E10" s="38"/>
      <c r="F10" s="201">
        <f>IF(E10&gt;0,"REMEMBER: You may BUY at $"&amp;TEXT(ROUNDUP(E10,0),"0"),"")</f>
      </c>
      <c r="G10" s="202"/>
      <c r="H10" s="47"/>
    </row>
    <row r="11" spans="1:8" s="15" customFormat="1" ht="24.75" customHeight="1">
      <c r="A11" s="141"/>
      <c r="B11" s="139"/>
      <c r="C11" s="144">
        <f>IF(LEFT(UPPER(B11),1)="N","Better to sell on a down day","")</f>
      </c>
      <c r="D11" s="21" t="s">
        <v>12</v>
      </c>
      <c r="E11" s="39"/>
      <c r="F11" s="59">
        <f>IF(AND(E11&gt;B15,E11&gt;0),"Expiration after Earnings","")</f>
      </c>
      <c r="G11" s="60"/>
      <c r="H11" s="48"/>
    </row>
    <row r="12" spans="1:8" ht="24.75" customHeight="1">
      <c r="A12" s="146" t="s">
        <v>56</v>
      </c>
      <c r="B12" s="148"/>
      <c r="C12" s="144">
        <f>IF(B12=0,"",IF(E10=0,IF(B12&lt;100*B5,"May not have enough cash",""),IF(B12&lt;100*VALUE(E10),"Not enough cash","")))</f>
      </c>
      <c r="D12" s="21" t="s">
        <v>13</v>
      </c>
      <c r="E12" s="66"/>
      <c r="F12" s="56"/>
      <c r="G12" s="57"/>
      <c r="H12" s="49"/>
    </row>
    <row r="13" spans="1:8" ht="24.75" customHeight="1">
      <c r="A13" s="146" t="s">
        <v>54</v>
      </c>
      <c r="B13" s="148"/>
      <c r="C13" s="145">
        <f>IF(B13&gt;0,"Sets maximum strike price","")</f>
      </c>
      <c r="D13" s="29" t="s">
        <v>14</v>
      </c>
      <c r="E13" s="54"/>
      <c r="F13" s="205"/>
      <c r="G13" s="206"/>
      <c r="H13" s="49"/>
    </row>
    <row r="14" spans="1:11" ht="24.75" customHeight="1">
      <c r="A14" s="146" t="s">
        <v>55</v>
      </c>
      <c r="B14" s="139"/>
      <c r="C14" s="144">
        <f>IF(LEFT(UPPER(B14),1)="N","Wait for when it might turn","")</f>
      </c>
      <c r="D14" s="21"/>
      <c r="E14" s="99"/>
      <c r="F14" s="98"/>
      <c r="G14" s="58"/>
      <c r="H14" s="50"/>
      <c r="I14" s="136"/>
      <c r="J14" s="85"/>
      <c r="K14" s="84" t="s">
        <v>33</v>
      </c>
    </row>
    <row r="15" spans="1:11" ht="24.75" customHeight="1">
      <c r="A15" s="147"/>
      <c r="B15" s="149"/>
      <c r="C15" s="153"/>
      <c r="D15" s="203" t="str">
        <f>IF(OR(E13=0,E13*100&gt;B12),"APR","APR    "&amp;TEXT(E17,"0%"))</f>
        <v>APR</v>
      </c>
      <c r="E15" s="187" t="s">
        <v>17</v>
      </c>
      <c r="F15" s="191">
        <f>IF(OR(E13=0,E13*100&gt;B12),,+E13*E12*100-commission)</f>
        <v>0</v>
      </c>
      <c r="G15" s="193">
        <f>IF(AND(F15&lt;100,F15&gt;0),"Total collected less than $100","")</f>
      </c>
      <c r="H15" s="50"/>
      <c r="I15" s="82" t="s">
        <v>15</v>
      </c>
      <c r="J15" s="94">
        <f>+'Getting Started'!C10</f>
        <v>4.95</v>
      </c>
      <c r="K15" s="95">
        <f>+'Getting Started'!E10</f>
        <v>0</v>
      </c>
    </row>
    <row r="16" spans="1:11" ht="24.75" customHeight="1">
      <c r="A16" s="151"/>
      <c r="B16" s="150"/>
      <c r="C16" s="154"/>
      <c r="D16" s="204"/>
      <c r="E16" s="188"/>
      <c r="F16" s="192"/>
      <c r="G16" s="194"/>
      <c r="H16" s="51"/>
      <c r="I16" s="83" t="s">
        <v>16</v>
      </c>
      <c r="J16" s="96">
        <f>+'Getting Started'!C11</f>
        <v>0.65</v>
      </c>
      <c r="K16" s="81"/>
    </row>
    <row r="17" ht="15">
      <c r="E17" s="195">
        <f ca="1">IF(E13&gt;0,((E12*100*E13)-commission)/(Last*E13*100)*365/(E11-TODAY()),"")</f>
      </c>
    </row>
    <row r="18" spans="5:7" ht="18.75">
      <c r="E18" s="195"/>
      <c r="G18" s="53"/>
    </row>
    <row r="20" ht="15">
      <c r="C20" s="137"/>
    </row>
    <row r="22" ht="15">
      <c r="C22" s="138"/>
    </row>
    <row r="29" ht="15">
      <c r="D29" s="152"/>
    </row>
  </sheetData>
  <sheetProtection sheet="1" selectLockedCells="1"/>
  <mergeCells count="12">
    <mergeCell ref="D15:D16"/>
    <mergeCell ref="F13:G13"/>
    <mergeCell ref="E15:E16"/>
    <mergeCell ref="E9:G9"/>
    <mergeCell ref="F15:F16"/>
    <mergeCell ref="G15:G16"/>
    <mergeCell ref="E17:E18"/>
    <mergeCell ref="A1:D1"/>
    <mergeCell ref="E1:F1"/>
    <mergeCell ref="A7:B7"/>
    <mergeCell ref="A6:C6"/>
    <mergeCell ref="F10:G10"/>
  </mergeCells>
  <conditionalFormatting sqref="A5 B9">
    <cfRule type="expression" priority="3" dxfId="7" stopIfTrue="1">
      <formula>IF(A5&lt;&gt;"Y/N or Check",TRUE(),FALSE())</formula>
    </cfRule>
  </conditionalFormatting>
  <conditionalFormatting sqref="B10:B11">
    <cfRule type="expression" priority="2" dxfId="7" stopIfTrue="1">
      <formula>IF(B10&lt;&gt;"Y/N or Check",TRUE(),FALSE())</formula>
    </cfRule>
  </conditionalFormatting>
  <conditionalFormatting sqref="B14">
    <cfRule type="expression" priority="1" dxfId="7" stopIfTrue="1">
      <formula>IF(B14&lt;&gt;"Y/N or Check",TRUE(),FALSE())</formula>
    </cfRule>
  </conditionalFormatting>
  <dataValidations count="14">
    <dataValidation type="whole" allowBlank="1" showInputMessage="1" showErrorMessage="1" sqref="B12">
      <formula1>0</formula1>
      <formula2>100000</formula2>
    </dataValidation>
    <dataValidation type="decimal" allowBlank="1" showInputMessage="1" showErrorMessage="1" sqref="B13">
      <formula1>0</formula1>
      <formula2>100000</formula2>
    </dataValidation>
    <dataValidation type="list" allowBlank="1" showInputMessage="1" showErrorMessage="1" sqref="E11">
      <formula1>longlist</formula1>
    </dataValidation>
    <dataValidation allowBlank="1" showInputMessage="1" showErrorMessage="1" sqref="E1:F1 A5"/>
    <dataValidation type="date" operator="greaterThan" allowBlank="1" showErrorMessage="1" errorTitle="Enter Next Earnings Date" error="That date is in the past ...please input the next Earnings date in the future.  &#10;If unknown add 3 months to last for an aproximate date." sqref="B15">
      <formula1>TODAY()</formula1>
    </dataValidation>
    <dataValidation operator="greaterThan" allowBlank="1" showInputMessage="1" showErrorMessage="1" error="That date is in the past ...please input the next Ex-Dividend date in the future.  &#10;If unknown add 3 months to last for an aproximate date." sqref="C16"/>
    <dataValidation allowBlank="1" showInputMessage="1" showErrorMessage="1" promptTitle="Do NOT Enter Data Here" prompt="Access to this cell is only for the Hyperlink" sqref="A15"/>
    <dataValidation allowBlank="1" showInputMessage="1" showErrorMessage="1" sqref="B16"/>
    <dataValidation operator="lessThan" allowBlank="1" showErrorMessage="1" promptTitle="Do NOT Enter Data Here" prompt="Access to this cell is only for the Hyperlink" errorTitle="WARNING" error="Do not enter data in this cell, hit &quot;cancel&quot; to keep the cell unchanged. " sqref="A9"/>
    <dataValidation allowBlank="1" showErrorMessage="1" promptTitle="Do NOT Enter Data Here" prompt="Access to this cell is only for the Hyperlink" sqref="A16 I14"/>
    <dataValidation type="list" allowBlank="1" showInputMessage="1" showErrorMessage="1" sqref="A11">
      <formula1>"Y,N,y,n,Yes,No,yes,no,YES,NO,Yes/No?,Check"</formula1>
    </dataValidation>
    <dataValidation type="list" allowBlank="1" showDropDown="1" showErrorMessage="1" sqref="E9:G9">
      <formula1>"Look at the option chain"</formula1>
    </dataValidation>
    <dataValidation type="whole" operator="lessThanOrEqual" allowBlank="1" showErrorMessage="1" errorTitle="Too Many Contracts" error="You do not have enough cash for that number of contracts.  Please use fewer contracts or raise cash available." sqref="E13">
      <formula1>B12/(E10*100)</formula1>
    </dataValidation>
    <dataValidation type="list" allowBlank="1" showDropDown="1" showInputMessage="1" showErrorMessage="1" sqref="B9:B11 B14">
      <formula1>"y,n,Y,N,Yes,No,yes,no"</formula1>
    </dataValidation>
  </dataValidations>
  <printOptions/>
  <pageMargins left="0.7" right="0.7" top="0.75" bottom="0.75" header="0.3" footer="0.3"/>
  <pageSetup horizontalDpi="600" verticalDpi="600" orientation="portrait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N26"/>
  <sheetViews>
    <sheetView showGridLines="0" showRowColHeaders="0" showZeros="0" zoomScalePageLayoutView="0" workbookViewId="0" topLeftCell="A1">
      <selection activeCell="B9" sqref="B9"/>
    </sheetView>
  </sheetViews>
  <sheetFormatPr defaultColWidth="9.140625" defaultRowHeight="15"/>
  <cols>
    <col min="1" max="1" width="34.28125" style="37" customWidth="1"/>
    <col min="2" max="2" width="16.421875" style="37" customWidth="1"/>
    <col min="3" max="3" width="25.57421875" style="37" customWidth="1"/>
    <col min="4" max="4" width="37.00390625" style="37" customWidth="1"/>
    <col min="5" max="7" width="18.00390625" style="37" customWidth="1"/>
    <col min="8" max="8" width="1.8515625" style="37" customWidth="1"/>
    <col min="9" max="9" width="10.7109375" style="37" customWidth="1"/>
    <col min="10" max="10" width="5.421875" style="37" customWidth="1"/>
    <col min="11" max="11" width="6.7109375" style="37" customWidth="1"/>
    <col min="12" max="16384" width="9.140625" style="37" customWidth="1"/>
  </cols>
  <sheetData>
    <row r="1" spans="1:9" s="33" customFormat="1" ht="21" customHeight="1">
      <c r="A1" s="196" t="s">
        <v>53</v>
      </c>
      <c r="B1" s="196"/>
      <c r="C1" s="196"/>
      <c r="D1" s="196"/>
      <c r="E1" s="207" t="s">
        <v>48</v>
      </c>
      <c r="F1" s="207"/>
      <c r="I1" s="105" t="str">
        <f>"Version "&amp;TEXT(Version,"0.00")</f>
        <v>Version 3.00</v>
      </c>
    </row>
    <row r="2" spans="1:4" ht="4.5" customHeight="1">
      <c r="A2" s="16"/>
      <c r="B2" s="16"/>
      <c r="C2" s="16"/>
      <c r="D2" s="16"/>
    </row>
    <row r="3" spans="4:8" s="11" customFormat="1" ht="25.5" customHeight="1">
      <c r="D3" s="107" t="s">
        <v>34</v>
      </c>
      <c r="E3" s="101"/>
      <c r="F3" s="101"/>
      <c r="G3" s="102"/>
      <c r="H3" s="52"/>
    </row>
    <row r="4" spans="1:8" s="12" customFormat="1" ht="31.5" customHeight="1">
      <c r="A4" s="32" t="s">
        <v>50</v>
      </c>
      <c r="B4" s="31" t="s">
        <v>10</v>
      </c>
      <c r="C4" s="61"/>
      <c r="D4" s="63" t="s">
        <v>32</v>
      </c>
      <c r="E4" s="106">
        <f>+B9</f>
        <v>0</v>
      </c>
      <c r="G4" s="77" t="str">
        <f>IF(E1="Sell-To-Open","STO","BTC")</f>
        <v>BTC</v>
      </c>
      <c r="H4" s="41"/>
    </row>
    <row r="5" spans="1:14" s="12" customFormat="1" ht="33" customHeight="1">
      <c r="A5" s="214">
        <f>+Ticker</f>
        <v>0</v>
      </c>
      <c r="B5" s="30">
        <f>+Last</f>
        <v>0</v>
      </c>
      <c r="C5" s="62"/>
      <c r="D5" s="63" t="s">
        <v>35</v>
      </c>
      <c r="E5" s="76">
        <f>+B10</f>
        <v>0</v>
      </c>
      <c r="F5" s="78"/>
      <c r="G5" s="79"/>
      <c r="H5" s="42"/>
      <c r="L5" s="18">
        <f>+Dates!C14</f>
        <v>5</v>
      </c>
      <c r="M5" s="18">
        <f>+Dates!C15</f>
        <v>33</v>
      </c>
      <c r="N5" s="18">
        <f>+Dates!C16</f>
        <v>68</v>
      </c>
    </row>
    <row r="6" spans="1:8" s="10" customFormat="1" ht="24.75" customHeight="1" thickBot="1">
      <c r="A6" s="208"/>
      <c r="B6" s="208"/>
      <c r="C6" s="208"/>
      <c r="D6" s="22" t="s">
        <v>29</v>
      </c>
      <c r="E6" s="86">
        <f>IF(COUNT(B9:B13)=5,IF((0.1*BTCLast)*(L7/365)-(tradecost/(100*B12))&lt;(0.2*(D12/(B12*100)))-(tradecost/(100*B12)),(0.2*(D12/(B12*100)))-(tradecost/(100*B12)),(0.1*BTCLast)*(L7/365)-(tradecost/(100*B12))),"")</f>
      </c>
      <c r="F6" s="43"/>
      <c r="G6" s="80"/>
      <c r="H6" s="43"/>
    </row>
    <row r="7" spans="1:14" s="10" customFormat="1" ht="24.75" customHeight="1" thickBot="1">
      <c r="A7" s="198" t="s">
        <v>31</v>
      </c>
      <c r="B7" s="199"/>
      <c r="C7" s="90"/>
      <c r="D7" s="107" t="s">
        <v>42</v>
      </c>
      <c r="E7" s="126" t="s">
        <v>43</v>
      </c>
      <c r="F7" s="110"/>
      <c r="G7" s="133">
        <f>IF(F7&gt;E6,"Above Max Prem!","")</f>
      </c>
      <c r="H7" s="44"/>
      <c r="L7" s="19">
        <f ca="1">+E4-TODAY()</f>
        <v>-43052</v>
      </c>
      <c r="M7" s="19">
        <f ca="1">+F6-TODAY()</f>
        <v>-43052</v>
      </c>
      <c r="N7" s="19">
        <f ca="1">+G6-TODAY()</f>
        <v>-43052</v>
      </c>
    </row>
    <row r="8" spans="3:9" s="10" customFormat="1" ht="24.75" customHeight="1">
      <c r="C8" s="91"/>
      <c r="D8" s="113" t="s">
        <v>40</v>
      </c>
      <c r="E8" s="111"/>
      <c r="F8" s="116" t="s">
        <v>38</v>
      </c>
      <c r="G8" s="112" t="s">
        <v>3</v>
      </c>
      <c r="H8" s="45"/>
      <c r="I8" s="117"/>
    </row>
    <row r="9" spans="1:11" s="14" customFormat="1" ht="24.75" customHeight="1">
      <c r="A9" s="21" t="s">
        <v>12</v>
      </c>
      <c r="B9" s="39"/>
      <c r="C9" s="92"/>
      <c r="D9" s="119">
        <f>IF(COUNT(B9:B13,F7)=6,B11*B12*100-tradecost,"")</f>
      </c>
      <c r="E9" s="120">
        <f>IF(D9="","",B12*100*F7+tradecost)</f>
      </c>
      <c r="F9" s="121">
        <f>IF(F7="","",+D9-E9)</f>
      </c>
      <c r="G9" s="122">
        <f ca="1">IF(F7&gt;0,+F9/(B5*B12*100)*(365/(TODAY()-B13)),"")</f>
      </c>
      <c r="H9" s="46"/>
      <c r="I9" s="136"/>
      <c r="J9" s="85"/>
      <c r="K9" s="84" t="s">
        <v>33</v>
      </c>
    </row>
    <row r="10" spans="1:11" s="14" customFormat="1" ht="24.75" customHeight="1">
      <c r="A10" s="20" t="s">
        <v>26</v>
      </c>
      <c r="B10" s="38"/>
      <c r="C10" s="92"/>
      <c r="D10" s="107" t="str">
        <f ca="1">IF(B9=0,"3b. If option expires worthless","3b. If option expires worthless in "&amp;TEXT(B9-TODAY(),"0")&amp;" day(s)")</f>
        <v>3b. If option expires worthless</v>
      </c>
      <c r="E10" s="108"/>
      <c r="F10" s="157">
        <f>IF(B5&lt;B10,"N/A  Price below strike","")</f>
      </c>
      <c r="G10" s="85"/>
      <c r="H10" s="47"/>
      <c r="I10" s="82" t="s">
        <v>15</v>
      </c>
      <c r="J10" s="94">
        <f>+'Getting Started'!C10</f>
        <v>4.95</v>
      </c>
      <c r="K10" s="95">
        <f>+'Getting Started'!E10</f>
        <v>0</v>
      </c>
    </row>
    <row r="11" spans="1:11" s="15" customFormat="1" ht="24.75" customHeight="1">
      <c r="A11" s="22" t="s">
        <v>27</v>
      </c>
      <c r="B11" s="66"/>
      <c r="C11" s="92"/>
      <c r="D11" s="113" t="s">
        <v>41</v>
      </c>
      <c r="E11" s="114"/>
      <c r="F11" s="116" t="s">
        <v>38</v>
      </c>
      <c r="G11" s="112" t="s">
        <v>3</v>
      </c>
      <c r="H11" s="48"/>
      <c r="I11" s="83" t="s">
        <v>16</v>
      </c>
      <c r="J11" s="96">
        <f>+'Getting Started'!C11</f>
        <v>0.65</v>
      </c>
      <c r="K11" s="81"/>
    </row>
    <row r="12" spans="1:8" ht="24.75" customHeight="1">
      <c r="A12" s="21" t="s">
        <v>28</v>
      </c>
      <c r="B12" s="54"/>
      <c r="C12" s="92"/>
      <c r="D12" s="119">
        <f>IF(COUNT(B9:B13)=5,B11*B12*100-tradecost,"")</f>
      </c>
      <c r="E12" s="123" t="s">
        <v>39</v>
      </c>
      <c r="F12" s="121">
        <f>+D12</f>
      </c>
      <c r="G12" s="122" t="e">
        <f>+D12/(B10*B12*100)*(365/(B9-B13))</f>
        <v>#VALUE!</v>
      </c>
      <c r="H12" s="49"/>
    </row>
    <row r="13" spans="1:8" ht="24.75" customHeight="1">
      <c r="A13" s="21" t="s">
        <v>30</v>
      </c>
      <c r="B13" s="75"/>
      <c r="C13" s="93"/>
      <c r="G13" s="127"/>
      <c r="H13" s="49"/>
    </row>
    <row r="14" spans="1:8" ht="24.75" customHeight="1">
      <c r="A14" s="21"/>
      <c r="B14" s="124"/>
      <c r="C14" s="93"/>
      <c r="D14" s="115" t="s">
        <v>61</v>
      </c>
      <c r="E14" s="108"/>
      <c r="F14" s="109"/>
      <c r="G14" s="85"/>
      <c r="H14" s="49"/>
    </row>
    <row r="15" spans="1:8" ht="24.75" customHeight="1">
      <c r="A15" s="21"/>
      <c r="B15" s="125"/>
      <c r="C15" s="93"/>
      <c r="D15" s="209" t="s">
        <v>59</v>
      </c>
      <c r="E15" s="210"/>
      <c r="F15" s="211" t="s">
        <v>60</v>
      </c>
      <c r="G15" s="212"/>
      <c r="H15" s="49"/>
    </row>
    <row r="16" spans="1:8" ht="24.75" customHeight="1">
      <c r="A16" s="26"/>
      <c r="B16" s="128"/>
      <c r="C16" s="129"/>
      <c r="D16" s="155">
        <f>IF(COUNT(B9:B13)=5,TEXT(B10,"[Red]$0.00")&amp;"       "&amp;TEXT(-D12/(B12*100),"[Green]$0.00"),"")</f>
      </c>
      <c r="E16" s="123">
        <f>IF(COUNT(B9:B13)=5,"  "&amp;TEXT('Getting Started'!assignment/(B12*100),"$0.00")&amp;"     ","")</f>
      </c>
      <c r="F16" s="156">
        <f>IF(COUNT(B9:B13)=5,B10-(D12/(B12*100))+'Getting Started'!assignment/(B12*100),"")</f>
      </c>
      <c r="G16" s="122"/>
      <c r="H16" s="50"/>
    </row>
    <row r="17" spans="1:8" ht="24.75" customHeight="1">
      <c r="A17" s="130"/>
      <c r="B17" s="130"/>
      <c r="C17" s="130"/>
      <c r="H17" s="50"/>
    </row>
    <row r="18" spans="1:8" ht="24.75" customHeight="1">
      <c r="A18" s="56"/>
      <c r="B18" s="131"/>
      <c r="C18" s="132"/>
      <c r="H18" s="51"/>
    </row>
    <row r="19" spans="4:5" ht="15">
      <c r="D19" s="87"/>
      <c r="E19" s="195" t="e">
        <f ca="1">(E9/(B12*100*B5)*(365/(B9-TODAY())))</f>
        <v>#VALUE!</v>
      </c>
    </row>
    <row r="20" spans="5:7" ht="18.75">
      <c r="E20" s="195"/>
      <c r="G20" s="53"/>
    </row>
    <row r="26" ht="15">
      <c r="C26" s="118"/>
    </row>
  </sheetData>
  <sheetProtection sheet="1" selectLockedCells="1"/>
  <mergeCells count="7">
    <mergeCell ref="E19:E20"/>
    <mergeCell ref="A1:D1"/>
    <mergeCell ref="E1:F1"/>
    <mergeCell ref="A6:C6"/>
    <mergeCell ref="A7:B7"/>
    <mergeCell ref="D15:E15"/>
    <mergeCell ref="F15:G15"/>
  </mergeCells>
  <conditionalFormatting sqref="D12:G12">
    <cfRule type="expression" priority="6" dxfId="8" stopIfTrue="1">
      <formula>IF(COUNT($B$9:$B$13)&lt;5,TRUE(),FALSE())</formula>
    </cfRule>
  </conditionalFormatting>
  <conditionalFormatting sqref="D16:G16">
    <cfRule type="expression" priority="2" dxfId="8" stopIfTrue="1">
      <formula>IF(COUNT($B$9:$B$13)&lt;5,TRUE(),FALSE())</formula>
    </cfRule>
  </conditionalFormatting>
  <conditionalFormatting sqref="D12:G12">
    <cfRule type="expression" priority="1" dxfId="8" stopIfTrue="1">
      <formula>IF($B$5&lt;$B$10,TRUE(),FALSE())</formula>
    </cfRule>
  </conditionalFormatting>
  <conditionalFormatting sqref="D9">
    <cfRule type="expression" priority="9" dxfId="8" stopIfTrue="1">
      <formula>IF($F$7=0,TRUE(),FALSE())</formula>
    </cfRule>
  </conditionalFormatting>
  <dataValidations count="4">
    <dataValidation allowBlank="1" showInputMessage="1" showErrorMessage="1" sqref="E1:F1"/>
    <dataValidation type="list" operator="greaterThan" allowBlank="1" showInputMessage="1" showErrorMessage="1" errorTitle="Past Expiration Date" error="Not a valid expiration date.  " sqref="B9">
      <formula1>longlist</formula1>
    </dataValidation>
    <dataValidation type="whole" operator="greaterThan" allowBlank="1" showInputMessage="1" showErrorMessage="1" sqref="B12">
      <formula1>0</formula1>
    </dataValidation>
    <dataValidation type="date" operator="lessThanOrEqual" allowBlank="1" showInputMessage="1" showErrorMessage="1" sqref="B13:B15">
      <formula1>TODAY()</formula1>
    </dataValidation>
  </dataValidations>
  <printOptions/>
  <pageMargins left="0.7" right="0.7" top="0.75" bottom="0.75" header="0.3" footer="0.3"/>
  <pageSetup horizontalDpi="600" verticalDpi="600" orientation="portrait" r:id="rId2"/>
  <ignoredErrors>
    <ignoredError sqref="E12" numberStoredAsText="1"/>
    <ignoredError sqref="E19" evalError="1"/>
  </ignoredError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4:BF37"/>
  <sheetViews>
    <sheetView zoomScalePageLayoutView="0" workbookViewId="0" topLeftCell="A13">
      <selection activeCell="P25" sqref="P25"/>
    </sheetView>
  </sheetViews>
  <sheetFormatPr defaultColWidth="9.140625" defaultRowHeight="15"/>
  <cols>
    <col min="1" max="1" width="13.421875" style="0" bestFit="1" customWidth="1"/>
    <col min="5" max="5" width="10.57421875" style="0" customWidth="1"/>
    <col min="11" max="11" width="11.421875" style="0" customWidth="1"/>
    <col min="13" max="13" width="10.8515625" style="0" customWidth="1"/>
    <col min="14" max="14" width="12.28125" style="0" customWidth="1"/>
    <col min="16" max="16" width="11.8515625" style="0" customWidth="1"/>
  </cols>
  <sheetData>
    <row r="4" spans="1:58" ht="15">
      <c r="A4" s="1">
        <f ca="1">MONTH(TODAY())</f>
        <v>11</v>
      </c>
      <c r="C4">
        <f>WEEKDAY(DATE(A6,A4,1))</f>
        <v>4</v>
      </c>
      <c r="D4" s="1">
        <f>1+VLOOKUP(dayofweek1stofmonth,E4:F10,2,FALSE)+15</f>
        <v>18</v>
      </c>
      <c r="E4">
        <v>1</v>
      </c>
      <c r="F4">
        <v>5</v>
      </c>
      <c r="H4" s="1">
        <f>IF(A4=12,1,A4+1)</f>
        <v>12</v>
      </c>
      <c r="I4">
        <f>WEEKDAY(DATE(H6,H4,1))</f>
        <v>6</v>
      </c>
      <c r="J4" s="1">
        <f>1+VLOOKUP(I4,E4:F10,2,FALSE)+15</f>
        <v>16</v>
      </c>
      <c r="L4" s="1">
        <f>IF(H4=12,1,+H4+1)</f>
        <v>1</v>
      </c>
      <c r="M4">
        <f>WEEKDAY(DATE(L6,L4,1))</f>
        <v>2</v>
      </c>
      <c r="N4" s="1">
        <f>1+VLOOKUP(M4,E4:F10,2,FALSE)+15</f>
        <v>20</v>
      </c>
      <c r="P4" s="1">
        <f>IF(L4=12,1,+L4+1)</f>
        <v>2</v>
      </c>
      <c r="Q4">
        <f>WEEKDAY(DATE(P6,P4,1))</f>
        <v>5</v>
      </c>
      <c r="R4" s="1">
        <f>1+VLOOKUP(Q4,daysofweekblock,2,FALSE)+15</f>
        <v>17</v>
      </c>
      <c r="T4" s="1">
        <f>IF(P4=12,1,+P4+1)</f>
        <v>3</v>
      </c>
      <c r="U4">
        <f>WEEKDAY(DATE(T6,T4,1))</f>
        <v>5</v>
      </c>
      <c r="V4" s="1">
        <f>1+VLOOKUP(U4,daysofweekblock,2,FALSE)+15</f>
        <v>17</v>
      </c>
      <c r="X4" s="1">
        <f>IF(T4=12,1,+T4+1)</f>
        <v>4</v>
      </c>
      <c r="Y4">
        <f>WEEKDAY(DATE(X6,X4,1))</f>
        <v>1</v>
      </c>
      <c r="Z4" s="1">
        <f>1+VLOOKUP(Y4,daysofweekblock,2,FALSE)+15</f>
        <v>21</v>
      </c>
      <c r="AB4" s="1">
        <f>IF(X4=12,1,+X4+1)</f>
        <v>5</v>
      </c>
      <c r="AC4">
        <f>WEEKDAY(DATE(AB6,AB4,1))</f>
        <v>3</v>
      </c>
      <c r="AD4" s="1">
        <f>1+VLOOKUP(AC4,daysofweekblock,2,FALSE)+15</f>
        <v>19</v>
      </c>
      <c r="AF4" s="1">
        <f>IF(AB4=12,1,+AB4+1)</f>
        <v>6</v>
      </c>
      <c r="AG4">
        <f>WEEKDAY(DATE(AF6,AF4,1))</f>
        <v>6</v>
      </c>
      <c r="AH4" s="1">
        <f>1+VLOOKUP(AG4,daysofweekblock,2,FALSE)+15</f>
        <v>16</v>
      </c>
      <c r="AJ4" s="1">
        <f>IF(AF4=12,1,+AF4+1)</f>
        <v>7</v>
      </c>
      <c r="AK4">
        <f>WEEKDAY(DATE(AJ6,AJ4,1))</f>
        <v>1</v>
      </c>
      <c r="AL4" s="1">
        <f>1+VLOOKUP(AK4,daysofweekblock,2,FALSE)+15</f>
        <v>21</v>
      </c>
      <c r="AN4" s="1">
        <f>IF(AJ4=12,1,+AJ4+1)</f>
        <v>8</v>
      </c>
      <c r="AO4">
        <f>WEEKDAY(DATE(AN6,AN4,1))</f>
        <v>4</v>
      </c>
      <c r="AP4" s="1">
        <f>1+VLOOKUP(AO4,daysofweekblock,2,FALSE)+15</f>
        <v>18</v>
      </c>
      <c r="AR4" s="1">
        <f>IF(AN4=12,1,+AN4+1)</f>
        <v>9</v>
      </c>
      <c r="AS4">
        <f>WEEKDAY(DATE(AR6,AR4,1))</f>
        <v>7</v>
      </c>
      <c r="AT4" s="1">
        <f>1+VLOOKUP(AS4,daysofweekblock,2,FALSE)+15</f>
        <v>22</v>
      </c>
      <c r="AV4" s="1">
        <f>IF(AR4=12,1,+AR4+1)</f>
        <v>10</v>
      </c>
      <c r="AW4">
        <f>WEEKDAY(DATE(AV6,AV4,1))</f>
        <v>2</v>
      </c>
      <c r="AX4" s="1">
        <f>1+VLOOKUP(AW4,daysofweekblock,2,FALSE)+15</f>
        <v>20</v>
      </c>
      <c r="AZ4" s="1">
        <f>IF(AV4=12,1,+AV4+1)</f>
        <v>11</v>
      </c>
      <c r="BA4">
        <f>WEEKDAY(DATE(AZ6,AZ4,1))</f>
        <v>5</v>
      </c>
      <c r="BB4" s="1">
        <f>1+VLOOKUP(BA4,daysofweekblock,2,FALSE)+15</f>
        <v>17</v>
      </c>
      <c r="BD4" s="1">
        <f>IF(AZ4=12,1,+AZ4+1)</f>
        <v>12</v>
      </c>
      <c r="BE4">
        <f>WEEKDAY(DATE(BD6,BD4,1))</f>
        <v>7</v>
      </c>
      <c r="BF4" s="1">
        <f>1+VLOOKUP(BE4,daysofweekblock,2,FALSE)+15</f>
        <v>22</v>
      </c>
    </row>
    <row r="5" spans="1:6" ht="15">
      <c r="A5">
        <f ca="1">DAY(TODAY())</f>
        <v>13</v>
      </c>
      <c r="B5">
        <f>WEEKDAY(DATE(A6,A4,A5))</f>
        <v>2</v>
      </c>
      <c r="E5">
        <v>2</v>
      </c>
      <c r="F5">
        <v>4</v>
      </c>
    </row>
    <row r="6" spans="1:56" ht="15">
      <c r="A6">
        <f ca="1">YEAR(TODAY())</f>
        <v>2017</v>
      </c>
      <c r="B6">
        <f>IF(B5&lt;5,+A5+6-B5,A5+13-B5)</f>
        <v>17</v>
      </c>
      <c r="E6">
        <v>3</v>
      </c>
      <c r="F6">
        <v>3</v>
      </c>
      <c r="H6">
        <f>IF(A4=12,+A6+1,A6)</f>
        <v>2017</v>
      </c>
      <c r="L6">
        <f>IF(H4=12,H6+1,H6)</f>
        <v>2018</v>
      </c>
      <c r="P6">
        <f>IF(L4=12,L6+1,L6)</f>
        <v>2018</v>
      </c>
      <c r="T6">
        <f>IF(P4=12,P6+1,P6)</f>
        <v>2018</v>
      </c>
      <c r="X6">
        <f>IF(T4=12,T6+1,T6)</f>
        <v>2018</v>
      </c>
      <c r="AB6">
        <f>IF(X4=12,X6+1,X6)</f>
        <v>2018</v>
      </c>
      <c r="AF6">
        <f>IF(AB4=12,AB6+1,AB6)</f>
        <v>2018</v>
      </c>
      <c r="AJ6">
        <f>IF(AF4=12,AF6+1,AF6)</f>
        <v>2018</v>
      </c>
      <c r="AN6">
        <f>IF(AJ4=12,AJ6+1,AJ6)</f>
        <v>2018</v>
      </c>
      <c r="AR6">
        <f>IF(AN4=12,AN6+1,AN6)</f>
        <v>2018</v>
      </c>
      <c r="AV6">
        <f>IF(AR4=12,AR6+1,AR6)</f>
        <v>2018</v>
      </c>
      <c r="AZ6">
        <f>IF(AV4=12,AV6+1,AV6)</f>
        <v>2018</v>
      </c>
      <c r="BD6">
        <f>IF(AZ4=12,AZ6+1,AZ6)</f>
        <v>2018</v>
      </c>
    </row>
    <row r="7" spans="5:6" ht="15">
      <c r="E7">
        <v>4</v>
      </c>
      <c r="F7">
        <v>2</v>
      </c>
    </row>
    <row r="8" spans="1:6" ht="15">
      <c r="A8">
        <f ca="1">WEEKDAY(TODAY())</f>
        <v>2</v>
      </c>
      <c r="E8">
        <v>5</v>
      </c>
      <c r="F8">
        <v>1</v>
      </c>
    </row>
    <row r="9" spans="5:6" ht="15">
      <c r="E9">
        <v>6</v>
      </c>
      <c r="F9">
        <v>0</v>
      </c>
    </row>
    <row r="10" spans="5:6" ht="15">
      <c r="E10">
        <v>7</v>
      </c>
      <c r="F10">
        <v>6</v>
      </c>
    </row>
    <row r="11" spans="4:58" ht="15">
      <c r="D11" t="str">
        <f>RIGHT(TEXT(A6,"0"),2)&amp;TEXT(A4,"00")&amp;TEXT(FrontMonthExp,"00")</f>
        <v>171118</v>
      </c>
      <c r="J11" t="str">
        <f>RIGHT(TEXT(H6,"0"),2)&amp;TEXT(H4,"00")&amp;TEXT(J4,"00")</f>
        <v>171216</v>
      </c>
      <c r="N11" t="str">
        <f>RIGHT(TEXT(L6,"0"),2)&amp;TEXT(L4,"00")&amp;TEXT(N4,"00")</f>
        <v>180120</v>
      </c>
      <c r="R11" t="str">
        <f>RIGHT(TEXT(P6,"0"),2)&amp;TEXT(P4,"00")&amp;TEXT(R4,"00")</f>
        <v>180217</v>
      </c>
      <c r="V11" t="str">
        <f>RIGHT(TEXT(T6,"0"),2)&amp;TEXT(T4,"00")&amp;TEXT(V4,"00")</f>
        <v>180317</v>
      </c>
      <c r="Z11" t="str">
        <f>RIGHT(TEXT(X6,"0"),2)&amp;TEXT(X4,"00")&amp;TEXT(Z4,"00")</f>
        <v>180421</v>
      </c>
      <c r="AD11" t="str">
        <f>RIGHT(TEXT(AB6,"0"),2)&amp;TEXT(AB4,"00")&amp;TEXT(AD4,"00")</f>
        <v>180519</v>
      </c>
      <c r="AH11" t="str">
        <f>RIGHT(TEXT(AF6,"0"),2)&amp;TEXT(AF4,"00")&amp;TEXT(AH4,"00")</f>
        <v>180616</v>
      </c>
      <c r="AL11" t="str">
        <f>RIGHT(TEXT(AJ6,"0"),2)&amp;TEXT(AJ4,"00")&amp;TEXT(AL4,"00")</f>
        <v>180721</v>
      </c>
      <c r="AP11" t="str">
        <f>RIGHT(TEXT(AN6,"0"),2)&amp;TEXT(AN4,"00")&amp;TEXT(AP4,"00")</f>
        <v>180818</v>
      </c>
      <c r="AT11" t="str">
        <f>RIGHT(TEXT(AR6,"0"),2)&amp;TEXT(AR4,"00")&amp;TEXT(AT4,"00")</f>
        <v>180922</v>
      </c>
      <c r="AX11" t="str">
        <f>RIGHT(TEXT(AV6,"0"),2)&amp;TEXT(AV4,"00")&amp;TEXT(AX4,"00")</f>
        <v>181020</v>
      </c>
      <c r="BB11" t="str">
        <f>RIGHT(TEXT(AZ6,"0"),2)&amp;TEXT(AZ4,"00")&amp;TEXT(BB4,"00")</f>
        <v>181117</v>
      </c>
      <c r="BF11" t="str">
        <f>RIGHT(TEXT(BD6,"0"),2)&amp;TEXT(BD4,"00")&amp;TEXT(BF4,"00")</f>
        <v>181222</v>
      </c>
    </row>
    <row r="14" spans="1:5" ht="15">
      <c r="A14" t="s">
        <v>2</v>
      </c>
      <c r="B14" t="str">
        <f>IF(OR(FrontMonthExp-B6&gt;1,FrontMonthExp-B6&lt;1),TEXT(RIGHT(A6,2),"0")&amp;TEXT(A4,"00")&amp;TEXT(B6,"00"),IF(FrontMonthExp-B6=1,D11))</f>
        <v>171118</v>
      </c>
      <c r="C14">
        <f ca="1">DATE(2000+LEFT(B14,2),RIGHT(LEFT(B14,4),2),RIGHT(B14,2))-TODAY()</f>
        <v>5</v>
      </c>
      <c r="E14" s="9">
        <f>DATE(2000+LEFT(B14,2),LEFT(RIGHT(B14,4),2),RIGHT(B14,2))</f>
        <v>43057</v>
      </c>
    </row>
    <row r="15" spans="1:5" ht="15">
      <c r="A15" t="s">
        <v>0</v>
      </c>
      <c r="B15" t="str">
        <f>IF(D11&gt;B14,D11,J11)</f>
        <v>171216</v>
      </c>
      <c r="C15">
        <f ca="1">DATE(2000+LEFT(B15,2),RIGHT(LEFT(B15,4),2),RIGHT(B15,2))-TODAY()</f>
        <v>33</v>
      </c>
      <c r="E15" s="9">
        <f>DATE(2000+LEFT(B15,2),LEFT(RIGHT(B15,4),2),RIGHT(B15,2))</f>
        <v>43085</v>
      </c>
    </row>
    <row r="16" spans="1:5" ht="15">
      <c r="A16" t="s">
        <v>1</v>
      </c>
      <c r="B16" t="str">
        <f>IF(D11&gt;B14,J11,N11)</f>
        <v>180120</v>
      </c>
      <c r="C16">
        <f ca="1">DATE(2000+LEFT(B16,2),RIGHT(LEFT(B16,4),2),RIGHT(B16,2))-TODAY()</f>
        <v>68</v>
      </c>
      <c r="E16" s="9">
        <f>DATE(2000+LEFT(B16,2),LEFT(RIGHT(B16,4),2),RIGHT(B16,2))</f>
        <v>43120</v>
      </c>
    </row>
    <row r="19" spans="10:16" ht="15">
      <c r="J19" t="str">
        <f>IF(B14=B15,"",B14)</f>
        <v>171118</v>
      </c>
      <c r="K19" s="135">
        <f>IF(J19="","",DATE(2000+LEFT(J19,2),RIGHT(LEFT(J19,4),2),RIGHT(J19,2)))</f>
        <v>43057</v>
      </c>
      <c r="L19" s="134"/>
      <c r="M19" s="135"/>
      <c r="N19" s="135">
        <f ca="1">IF(todaysdayofweek&lt;7,TODAY()+6-todaysdayofweek,TODAY()+6)</f>
        <v>43056</v>
      </c>
      <c r="O19" t="str">
        <f aca="true" t="shared" si="0" ref="O19:O24">IF(AND(DAY(N19)&gt;14,DAY(N19)&lt;22),"M","Wk")</f>
        <v>M</v>
      </c>
      <c r="P19" s="135">
        <f aca="true" t="shared" si="1" ref="P19:P24">IF(O19="Wk",N19,N19+1)</f>
        <v>43057</v>
      </c>
    </row>
    <row r="20" spans="10:16" ht="15">
      <c r="J20" t="str">
        <f>IF(B15=B16,"",B15)</f>
        <v>171216</v>
      </c>
      <c r="K20" s="135">
        <f>IF(J20="","",DATE(2000+LEFT(J20,2),RIGHT(LEFT(J20,4),2),RIGHT(J20,2)))</f>
        <v>43085</v>
      </c>
      <c r="L20" s="134"/>
      <c r="M20" s="135"/>
      <c r="N20" s="135">
        <f>+N19+7</f>
        <v>43063</v>
      </c>
      <c r="O20" t="str">
        <f t="shared" si="0"/>
        <v>Wk</v>
      </c>
      <c r="P20" s="135">
        <f t="shared" si="1"/>
        <v>43063</v>
      </c>
    </row>
    <row r="21" spans="10:16" ht="15">
      <c r="J21" t="str">
        <f>+B16</f>
        <v>180120</v>
      </c>
      <c r="K21" s="135">
        <f>DATE(2000+LEFT(J21,2),RIGHT(LEFT(J21,4),2),RIGHT(J21,2))</f>
        <v>43120</v>
      </c>
      <c r="L21" s="134"/>
      <c r="M21" s="135"/>
      <c r="N21" s="135">
        <f>+N20+7</f>
        <v>43070</v>
      </c>
      <c r="O21" t="str">
        <f t="shared" si="0"/>
        <v>Wk</v>
      </c>
      <c r="P21" s="135">
        <f t="shared" si="1"/>
        <v>43070</v>
      </c>
    </row>
    <row r="22" spans="10:16" ht="15">
      <c r="J22" t="str">
        <f>+N11</f>
        <v>180120</v>
      </c>
      <c r="K22" s="135">
        <f aca="true" t="shared" si="2" ref="K22:K33">DATE(2000+LEFT(J22,2),RIGHT(LEFT(J22,4),2),RIGHT(J22,2))</f>
        <v>43120</v>
      </c>
      <c r="L22" s="134"/>
      <c r="M22" s="135"/>
      <c r="N22" s="135">
        <f>+N21+7</f>
        <v>43077</v>
      </c>
      <c r="O22" t="str">
        <f t="shared" si="0"/>
        <v>Wk</v>
      </c>
      <c r="P22" s="135">
        <f t="shared" si="1"/>
        <v>43077</v>
      </c>
    </row>
    <row r="23" spans="10:16" ht="15">
      <c r="J23" t="str">
        <f>+R11</f>
        <v>180217</v>
      </c>
      <c r="K23" s="135">
        <f t="shared" si="2"/>
        <v>43148</v>
      </c>
      <c r="L23" s="134"/>
      <c r="M23" s="135"/>
      <c r="N23" s="135">
        <f>+N22+7</f>
        <v>43084</v>
      </c>
      <c r="O23" t="str">
        <f t="shared" si="0"/>
        <v>M</v>
      </c>
      <c r="P23" s="135">
        <f t="shared" si="1"/>
        <v>43085</v>
      </c>
    </row>
    <row r="24" spans="10:16" ht="15">
      <c r="J24" t="str">
        <f>+V11</f>
        <v>180317</v>
      </c>
      <c r="K24" s="135">
        <f t="shared" si="2"/>
        <v>43176</v>
      </c>
      <c r="L24" s="134"/>
      <c r="M24" s="135"/>
      <c r="N24" s="135">
        <f>+N23+7</f>
        <v>43091</v>
      </c>
      <c r="O24" t="str">
        <f t="shared" si="0"/>
        <v>Wk</v>
      </c>
      <c r="P24" s="135">
        <f t="shared" si="1"/>
        <v>43091</v>
      </c>
    </row>
    <row r="25" spans="10:16" ht="15">
      <c r="J25" t="str">
        <f>+Z11</f>
        <v>180421</v>
      </c>
      <c r="K25" s="135">
        <f t="shared" si="2"/>
        <v>43211</v>
      </c>
      <c r="L25" s="134"/>
      <c r="M25" s="135" t="str">
        <f>+J11</f>
        <v>171216</v>
      </c>
      <c r="N25" s="135">
        <f>DATE(2000+LEFT(M25,2),RIGHT(LEFT(M25,4),2),RIGHT(M25,2))</f>
        <v>43085</v>
      </c>
      <c r="O25" t="s">
        <v>75</v>
      </c>
      <c r="P25" s="135">
        <f>IF(N25&lt;P24,N26,N25)</f>
        <v>43120</v>
      </c>
    </row>
    <row r="26" spans="10:16" ht="15">
      <c r="J26" t="str">
        <f>+AD11</f>
        <v>180519</v>
      </c>
      <c r="K26" s="135">
        <f t="shared" si="2"/>
        <v>43239</v>
      </c>
      <c r="L26" s="134"/>
      <c r="M26" s="135" t="str">
        <f>+N11</f>
        <v>180120</v>
      </c>
      <c r="N26" s="135">
        <f aca="true" t="shared" si="3" ref="N26:N37">DATE(2000+LEFT(M26,2),RIGHT(LEFT(M26,4),2),RIGHT(M26,2))</f>
        <v>43120</v>
      </c>
      <c r="O26" t="s">
        <v>75</v>
      </c>
      <c r="P26" s="135">
        <f aca="true" t="shared" si="4" ref="P26:P36">IF(N26&lt;P25,N27,N26)</f>
        <v>43120</v>
      </c>
    </row>
    <row r="27" spans="10:16" ht="15">
      <c r="J27" t="str">
        <f>+AH11</f>
        <v>180616</v>
      </c>
      <c r="K27" s="135">
        <f t="shared" si="2"/>
        <v>43267</v>
      </c>
      <c r="L27" s="134"/>
      <c r="M27" s="135" t="str">
        <f>+R11</f>
        <v>180217</v>
      </c>
      <c r="N27" s="135">
        <f t="shared" si="3"/>
        <v>43148</v>
      </c>
      <c r="O27" t="s">
        <v>75</v>
      </c>
      <c r="P27" s="135">
        <f t="shared" si="4"/>
        <v>43148</v>
      </c>
    </row>
    <row r="28" spans="10:16" ht="15">
      <c r="J28" t="str">
        <f>+AL11</f>
        <v>180721</v>
      </c>
      <c r="K28" s="135">
        <f t="shared" si="2"/>
        <v>43302</v>
      </c>
      <c r="L28" s="134"/>
      <c r="M28" s="135" t="str">
        <f>+V11</f>
        <v>180317</v>
      </c>
      <c r="N28" s="135">
        <f t="shared" si="3"/>
        <v>43176</v>
      </c>
      <c r="O28" t="s">
        <v>75</v>
      </c>
      <c r="P28" s="135">
        <f t="shared" si="4"/>
        <v>43176</v>
      </c>
    </row>
    <row r="29" spans="10:16" ht="15">
      <c r="J29" t="str">
        <f>+AP11</f>
        <v>180818</v>
      </c>
      <c r="K29" s="135">
        <f t="shared" si="2"/>
        <v>43330</v>
      </c>
      <c r="L29" s="134"/>
      <c r="M29" s="135" t="str">
        <f>+Z11</f>
        <v>180421</v>
      </c>
      <c r="N29" s="135">
        <f t="shared" si="3"/>
        <v>43211</v>
      </c>
      <c r="O29" t="s">
        <v>75</v>
      </c>
      <c r="P29" s="135">
        <f t="shared" si="4"/>
        <v>43211</v>
      </c>
    </row>
    <row r="30" spans="10:16" ht="15">
      <c r="J30" t="str">
        <f>+AT11</f>
        <v>180922</v>
      </c>
      <c r="K30" s="135">
        <f t="shared" si="2"/>
        <v>43365</v>
      </c>
      <c r="L30" s="134"/>
      <c r="M30" s="135" t="str">
        <f>+AD11</f>
        <v>180519</v>
      </c>
      <c r="N30" s="135">
        <f t="shared" si="3"/>
        <v>43239</v>
      </c>
      <c r="O30" t="s">
        <v>75</v>
      </c>
      <c r="P30" s="135">
        <f t="shared" si="4"/>
        <v>43239</v>
      </c>
    </row>
    <row r="31" spans="10:16" ht="15">
      <c r="J31" t="str">
        <f>+AX11</f>
        <v>181020</v>
      </c>
      <c r="K31" s="135">
        <f t="shared" si="2"/>
        <v>43393</v>
      </c>
      <c r="L31" s="134"/>
      <c r="M31" s="135" t="str">
        <f>+AH11</f>
        <v>180616</v>
      </c>
      <c r="N31" s="135">
        <f t="shared" si="3"/>
        <v>43267</v>
      </c>
      <c r="O31" t="s">
        <v>75</v>
      </c>
      <c r="P31" s="135">
        <f t="shared" si="4"/>
        <v>43267</v>
      </c>
    </row>
    <row r="32" spans="10:16" ht="15">
      <c r="J32" t="str">
        <f>+BB11</f>
        <v>181117</v>
      </c>
      <c r="K32" s="135">
        <f t="shared" si="2"/>
        <v>43421</v>
      </c>
      <c r="L32" s="134"/>
      <c r="M32" s="135" t="str">
        <f>+AL11</f>
        <v>180721</v>
      </c>
      <c r="N32" s="135">
        <f t="shared" si="3"/>
        <v>43302</v>
      </c>
      <c r="O32" t="s">
        <v>75</v>
      </c>
      <c r="P32" s="135">
        <f t="shared" si="4"/>
        <v>43302</v>
      </c>
    </row>
    <row r="33" spans="10:16" ht="15">
      <c r="J33" t="str">
        <f>+BF11</f>
        <v>181222</v>
      </c>
      <c r="K33" s="135">
        <f t="shared" si="2"/>
        <v>43456</v>
      </c>
      <c r="L33" s="134"/>
      <c r="M33" s="135" t="str">
        <f>+AP11</f>
        <v>180818</v>
      </c>
      <c r="N33" s="135">
        <f t="shared" si="3"/>
        <v>43330</v>
      </c>
      <c r="O33" t="s">
        <v>75</v>
      </c>
      <c r="P33" s="135">
        <f t="shared" si="4"/>
        <v>43330</v>
      </c>
    </row>
    <row r="34" spans="13:16" ht="15">
      <c r="M34" t="str">
        <f>+AT11</f>
        <v>180922</v>
      </c>
      <c r="N34" s="135">
        <f t="shared" si="3"/>
        <v>43365</v>
      </c>
      <c r="O34" t="s">
        <v>75</v>
      </c>
      <c r="P34" s="135">
        <f t="shared" si="4"/>
        <v>43365</v>
      </c>
    </row>
    <row r="35" spans="13:16" ht="15">
      <c r="M35" t="str">
        <f>+AX11</f>
        <v>181020</v>
      </c>
      <c r="N35" s="135">
        <f t="shared" si="3"/>
        <v>43393</v>
      </c>
      <c r="O35" t="s">
        <v>75</v>
      </c>
      <c r="P35" s="135">
        <f t="shared" si="4"/>
        <v>43393</v>
      </c>
    </row>
    <row r="36" spans="13:16" ht="15">
      <c r="M36" t="str">
        <f>+BB11</f>
        <v>181117</v>
      </c>
      <c r="N36" s="135">
        <f t="shared" si="3"/>
        <v>43421</v>
      </c>
      <c r="O36" t="s">
        <v>75</v>
      </c>
      <c r="P36" s="135">
        <f t="shared" si="4"/>
        <v>43421</v>
      </c>
    </row>
    <row r="37" spans="13:14" ht="15">
      <c r="M37" t="str">
        <f>+BF11</f>
        <v>181222</v>
      </c>
      <c r="N37" s="135">
        <f t="shared" si="3"/>
        <v>43456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8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19.57421875" style="0" bestFit="1" customWidth="1"/>
  </cols>
  <sheetData>
    <row r="1" ht="15">
      <c r="B1" t="s">
        <v>4</v>
      </c>
    </row>
    <row r="6" spans="1:2" ht="15">
      <c r="A6" t="s">
        <v>36</v>
      </c>
      <c r="B6" s="88">
        <f>IF('Sell-To-Open'!$E$13&lt;='Getting Started'!E10,'Getting Started'!C10,'Getting Started'!C10+('Sell-To-Open'!$E$13-'Getting Started'!E10)*'Getting Started'!C11)</f>
        <v>4.95</v>
      </c>
    </row>
    <row r="7" spans="1:2" ht="15">
      <c r="A7" t="s">
        <v>37</v>
      </c>
      <c r="B7" s="89">
        <f>IF('Closing the Option'!B12&lt;='Getting Started'!E10,'Getting Started'!C10,'Getting Started'!C10+('Closing the Option'!B12-'Getting Started'!E10)*'Getting Started'!C11)</f>
        <v>4.95</v>
      </c>
    </row>
    <row r="8" spans="1:10" ht="15">
      <c r="A8" t="s">
        <v>70</v>
      </c>
      <c r="B8" s="5">
        <f>+'Getting Started'!assignment</f>
        <v>4.95</v>
      </c>
      <c r="C8" s="4"/>
      <c r="D8" s="7"/>
      <c r="E8" s="4"/>
      <c r="F8" s="4"/>
      <c r="G8" s="4"/>
      <c r="H8" s="8"/>
      <c r="I8" s="6"/>
      <c r="J8" s="4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3:G14"/>
  <sheetViews>
    <sheetView zoomScalePageLayoutView="0" workbookViewId="0" topLeftCell="A1">
      <selection activeCell="D4" sqref="D4"/>
    </sheetView>
  </sheetViews>
  <sheetFormatPr defaultColWidth="9.140625" defaultRowHeight="15"/>
  <cols>
    <col min="2" max="3" width="10.00390625" style="0" customWidth="1"/>
    <col min="4" max="4" width="28.7109375" style="0" customWidth="1"/>
    <col min="5" max="5" width="6.28125" style="0" customWidth="1"/>
    <col min="6" max="6" width="8.57421875" style="0" customWidth="1"/>
    <col min="7" max="7" width="14.28125" style="0" customWidth="1"/>
  </cols>
  <sheetData>
    <row r="1" ht="23.25" customHeight="1"/>
    <row r="2" ht="15" customHeight="1"/>
    <row r="3" spans="2:4" ht="15">
      <c r="B3" t="e">
        <f>_xlfn.WEBSERVICE("http://download.finance.yahoo.com/d/quotes.csv?s="&amp;$A$4&amp;"&amp;f=l1")</f>
        <v>#VALUE!</v>
      </c>
      <c r="C3" t="e">
        <f>_xlfn.WEBSERVICE("http://download.finance.yahoo.com/d/quotes.csv?s="&amp;$A$4&amp;"&amp;f=c1")</f>
        <v>#VALUE!</v>
      </c>
      <c r="D3" t="e">
        <f>_xlfn.WEBSERVICE("http://download.finance.yahoo.com/d/quotes.csv?s="&amp;$A$4&amp;"&amp;f=n")</f>
        <v>#VALUE!</v>
      </c>
    </row>
    <row r="4" spans="1:4" ht="15">
      <c r="A4">
        <f>+Ticker</f>
        <v>0</v>
      </c>
      <c r="B4" t="e">
        <f>VALUE(LEFT($B$3,LEN($B$3)-1))</f>
        <v>#VALUE!</v>
      </c>
      <c r="C4" t="e">
        <f>VALUE(LEFT($C$3,LEN($C$3)-1))</f>
        <v>#VALUE!</v>
      </c>
      <c r="D4" t="e">
        <f>MID(D3,2,LEN(D3)-3)</f>
        <v>#VALUE!</v>
      </c>
    </row>
    <row r="5" ht="23.25" customHeight="1"/>
    <row r="6" ht="30" customHeight="1"/>
    <row r="7" ht="26.25" customHeight="1"/>
    <row r="8" ht="26.25" customHeight="1"/>
    <row r="9" ht="15" customHeight="1"/>
    <row r="10" ht="15" customHeight="1"/>
    <row r="11" spans="2:7" ht="26.25" customHeight="1">
      <c r="B11" s="3"/>
      <c r="C11" s="3"/>
      <c r="D11" s="3"/>
      <c r="E11" s="3"/>
      <c r="F11" s="3"/>
      <c r="G11" s="3"/>
    </row>
    <row r="12" spans="2:7" ht="15" customHeight="1">
      <c r="B12" s="2"/>
      <c r="C12" s="2"/>
      <c r="D12" s="2"/>
      <c r="E12" s="2"/>
      <c r="F12" s="2"/>
      <c r="G12" s="2"/>
    </row>
    <row r="13" spans="2:7" ht="15" customHeight="1">
      <c r="B13" s="71"/>
      <c r="C13" s="71"/>
      <c r="D13" s="71"/>
      <c r="E13" s="71"/>
      <c r="F13" s="71"/>
      <c r="G13" s="71"/>
    </row>
    <row r="14" spans="2:7" ht="15" customHeight="1">
      <c r="B14" s="72"/>
      <c r="C14" s="72"/>
      <c r="D14" s="72"/>
      <c r="E14" s="72"/>
      <c r="F14" s="72"/>
      <c r="G14" s="72"/>
    </row>
    <row r="16" ht="45" customHeight="1"/>
    <row r="18" ht="15" customHeight="1"/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3:D14"/>
  <sheetViews>
    <sheetView zoomScalePageLayoutView="0" workbookViewId="0" topLeftCell="A1">
      <selection activeCell="D4" sqref="D4"/>
    </sheetView>
  </sheetViews>
  <sheetFormatPr defaultColWidth="9.140625" defaultRowHeight="15"/>
  <cols>
    <col min="2" max="2" width="14.28125" style="0" customWidth="1"/>
    <col min="4" max="4" width="13.8515625" style="0" customWidth="1"/>
  </cols>
  <sheetData>
    <row r="1" ht="23.25" customHeight="1"/>
    <row r="2" ht="15" customHeight="1"/>
    <row r="3" spans="2:4" ht="15">
      <c r="B3" t="e">
        <f>_xlfn.WEBSERVICE("http://download.finance.yahoo.com/d/quotes.csv?s="&amp;$A$4&amp;"&amp;f=l1")</f>
        <v>#VALUE!</v>
      </c>
      <c r="C3" t="e">
        <f>_xlfn.WEBSERVICE("http://download.finance.yahoo.com/d/quotes.csv?s="&amp;$A$4&amp;"&amp;f=c1")</f>
        <v>#VALUE!</v>
      </c>
      <c r="D3" t="e">
        <f>_xlfn.WEBSERVICE("http://download.finance.yahoo.com/d/quotes.csv?s="&amp;$A$4&amp;"&amp;f=n")</f>
        <v>#VALUE!</v>
      </c>
    </row>
    <row r="4" spans="1:4" ht="15">
      <c r="A4">
        <f>+BTCTicker</f>
        <v>0</v>
      </c>
      <c r="B4" t="e">
        <f>VALUE(LEFT($B$3,LEN($B$3)-1))</f>
        <v>#VALUE!</v>
      </c>
      <c r="C4" t="e">
        <f>VALUE(LEFT($C$3,LEN($C$3)-1))</f>
        <v>#VALUE!</v>
      </c>
      <c r="D4" t="e">
        <f>MID(D3,2,LEN(D3)-3)</f>
        <v>#VALUE!</v>
      </c>
    </row>
    <row r="5" ht="23.25" customHeight="1"/>
    <row r="6" ht="15" customHeight="1"/>
    <row r="7" ht="26.25" customHeight="1"/>
    <row r="8" ht="26.25" customHeight="1"/>
    <row r="9" ht="15" customHeight="1"/>
    <row r="10" ht="15" customHeight="1"/>
    <row r="11" ht="26.25" customHeight="1">
      <c r="B11" s="36"/>
    </row>
    <row r="12" ht="15" customHeight="1">
      <c r="B12" s="35"/>
    </row>
    <row r="13" ht="15" customHeight="1">
      <c r="B13" s="71"/>
    </row>
    <row r="14" ht="15" customHeight="1">
      <c r="B14" s="72"/>
    </row>
    <row r="16" ht="45" customHeight="1"/>
    <row r="18" ht="15" customHeight="1"/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D15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9.140625" style="74" customWidth="1"/>
    <col min="2" max="2" width="9.140625" style="104" customWidth="1"/>
    <col min="3" max="3" width="9.140625" style="4" customWidth="1"/>
    <col min="4" max="4" width="117.8515625" style="68" customWidth="1"/>
    <col min="5" max="16384" width="9.140625" style="4" customWidth="1"/>
  </cols>
  <sheetData>
    <row r="1" ht="15">
      <c r="B1" s="104">
        <f>MAX(B3:B540)</f>
        <v>3</v>
      </c>
    </row>
    <row r="2" spans="1:4" s="69" customFormat="1" ht="18.75">
      <c r="A2" s="73" t="s">
        <v>19</v>
      </c>
      <c r="B2" s="103" t="s">
        <v>20</v>
      </c>
      <c r="C2" s="69" t="s">
        <v>21</v>
      </c>
      <c r="D2" s="70" t="s">
        <v>22</v>
      </c>
    </row>
    <row r="3" spans="1:4" ht="15">
      <c r="A3" s="74">
        <v>41129</v>
      </c>
      <c r="B3" s="104">
        <v>1</v>
      </c>
      <c r="C3" s="4" t="s">
        <v>23</v>
      </c>
      <c r="D3" s="68" t="s">
        <v>24</v>
      </c>
    </row>
    <row r="4" spans="1:4" ht="15">
      <c r="A4" s="74">
        <v>41132</v>
      </c>
      <c r="B4" s="104">
        <v>1.01</v>
      </c>
      <c r="C4" s="4" t="s">
        <v>23</v>
      </c>
      <c r="D4" s="68" t="s">
        <v>25</v>
      </c>
    </row>
    <row r="5" spans="1:4" ht="15">
      <c r="A5" s="74">
        <v>41136</v>
      </c>
      <c r="B5" s="104">
        <v>2</v>
      </c>
      <c r="C5" s="4" t="s">
        <v>23</v>
      </c>
      <c r="D5" s="68" t="s">
        <v>49</v>
      </c>
    </row>
    <row r="6" spans="1:4" ht="15">
      <c r="A6" s="74">
        <v>41137</v>
      </c>
      <c r="B6" s="104">
        <v>2.01</v>
      </c>
      <c r="C6" s="4" t="s">
        <v>23</v>
      </c>
      <c r="D6" s="68" t="s">
        <v>51</v>
      </c>
    </row>
    <row r="7" spans="1:4" ht="15">
      <c r="A7" s="74">
        <v>41138</v>
      </c>
      <c r="B7" s="104">
        <v>2.02</v>
      </c>
      <c r="C7" s="4" t="s">
        <v>23</v>
      </c>
      <c r="D7" s="68" t="s">
        <v>52</v>
      </c>
    </row>
    <row r="8" spans="1:4" ht="15">
      <c r="A8" s="74">
        <v>41142</v>
      </c>
      <c r="B8" s="104">
        <v>2.03</v>
      </c>
      <c r="C8" s="4" t="s">
        <v>23</v>
      </c>
      <c r="D8" s="68" t="s">
        <v>58</v>
      </c>
    </row>
    <row r="9" spans="1:4" ht="15">
      <c r="A9" s="74">
        <v>41142</v>
      </c>
      <c r="B9" s="104">
        <v>2.04</v>
      </c>
      <c r="C9" s="4" t="s">
        <v>23</v>
      </c>
      <c r="D9" s="68" t="s">
        <v>69</v>
      </c>
    </row>
    <row r="10" spans="1:4" ht="15">
      <c r="A10" s="74">
        <v>41144</v>
      </c>
      <c r="B10" s="104">
        <v>2.05</v>
      </c>
      <c r="C10" s="4" t="s">
        <v>23</v>
      </c>
      <c r="D10" s="68" t="s">
        <v>72</v>
      </c>
    </row>
    <row r="11" spans="1:4" ht="15">
      <c r="A11" s="74">
        <v>41144</v>
      </c>
      <c r="B11" s="104">
        <v>2.06</v>
      </c>
      <c r="C11" s="4" t="s">
        <v>23</v>
      </c>
      <c r="D11" s="68" t="s">
        <v>73</v>
      </c>
    </row>
    <row r="12" spans="1:4" ht="15">
      <c r="A12" s="74">
        <v>41163</v>
      </c>
      <c r="B12" s="104">
        <v>2.1</v>
      </c>
      <c r="C12" s="4" t="s">
        <v>23</v>
      </c>
      <c r="D12" s="68" t="s">
        <v>74</v>
      </c>
    </row>
    <row r="13" spans="1:4" ht="15">
      <c r="A13" s="74">
        <v>41324</v>
      </c>
      <c r="B13" s="104">
        <v>2.2</v>
      </c>
      <c r="C13" s="4" t="s">
        <v>23</v>
      </c>
      <c r="D13" s="68" t="s">
        <v>76</v>
      </c>
    </row>
    <row r="14" spans="1:4" ht="15">
      <c r="A14" s="74">
        <v>41337</v>
      </c>
      <c r="B14" s="104">
        <v>2.21</v>
      </c>
      <c r="C14" s="4" t="s">
        <v>23</v>
      </c>
      <c r="D14" s="68" t="s">
        <v>77</v>
      </c>
    </row>
    <row r="15" spans="1:4" ht="15">
      <c r="A15" s="74">
        <v>42955</v>
      </c>
      <c r="B15" s="104">
        <v>3</v>
      </c>
      <c r="C15" s="4" t="s">
        <v>23</v>
      </c>
      <c r="D15" s="68" t="s">
        <v>78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TheCOOLClubDude</dc:creator>
  <cp:keywords/>
  <dc:description/>
  <cp:lastModifiedBy>Paul Madison</cp:lastModifiedBy>
  <dcterms:created xsi:type="dcterms:W3CDTF">2012-07-28T14:43:21Z</dcterms:created>
  <dcterms:modified xsi:type="dcterms:W3CDTF">2017-11-13T17:12:53Z</dcterms:modified>
  <cp:category/>
  <cp:version/>
  <cp:contentType/>
  <cp:contentStatus/>
</cp:coreProperties>
</file>